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76" windowWidth="3168" windowHeight="3780"/>
  </bookViews>
  <sheets>
    <sheet name="Crédito por Convenio" sheetId="4" r:id="rId1"/>
    <sheet name="SIMULADOR" sheetId="1" state="hidden" r:id="rId2"/>
    <sheet name="Calculos" sheetId="2" state="hidden" r:id="rId3"/>
  </sheets>
  <calcPr calcId="145621"/>
</workbook>
</file>

<file path=xl/calcChain.xml><?xml version="1.0" encoding="utf-8"?>
<calcChain xmlns="http://schemas.openxmlformats.org/spreadsheetml/2006/main">
  <c r="C11" i="1" l="1"/>
  <c r="C9" i="1" l="1"/>
  <c r="C8" i="1"/>
  <c r="C12" i="1" l="1"/>
  <c r="E3" i="2" s="1"/>
  <c r="C10" i="1"/>
  <c r="E20" i="4" l="1"/>
  <c r="C16" i="1"/>
  <c r="E16" i="4"/>
  <c r="D1" i="2"/>
  <c r="F3" i="2" s="1"/>
  <c r="X6" i="2"/>
  <c r="A5" i="2" l="1"/>
  <c r="C17" i="1" l="1"/>
  <c r="E18" i="4"/>
  <c r="I6" i="2"/>
  <c r="O5" i="2" s="1"/>
  <c r="E23" i="1" l="1"/>
  <c r="B5" i="2"/>
  <c r="J23" i="1"/>
  <c r="K23" i="1" s="1"/>
  <c r="C23" i="1" l="1"/>
  <c r="D7" i="2" l="1"/>
  <c r="B70" i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D8" i="2" l="1"/>
  <c r="D9" i="2" s="1"/>
  <c r="D10" i="2" s="1"/>
  <c r="D11" i="2" s="1"/>
  <c r="D12" i="2" s="1"/>
  <c r="D13" i="2" s="1"/>
  <c r="E6" i="2"/>
  <c r="G6" i="2" s="1"/>
  <c r="M6" i="2" s="1"/>
  <c r="D14" i="2" l="1"/>
  <c r="L6" i="2"/>
  <c r="A6" i="2"/>
  <c r="B6" i="2" s="1"/>
  <c r="D15" i="2" l="1"/>
  <c r="C24" i="1"/>
  <c r="A7" i="2"/>
  <c r="B7" i="2" s="1"/>
  <c r="C25" i="1" s="1"/>
  <c r="E7" i="2"/>
  <c r="D16" i="2" l="1"/>
  <c r="G7" i="2"/>
  <c r="A8" i="2"/>
  <c r="B8" i="2" s="1"/>
  <c r="C26" i="1" s="1"/>
  <c r="E8" i="2"/>
  <c r="D17" i="2" l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G8" i="2"/>
  <c r="A9" i="2"/>
  <c r="B9" i="2" s="1"/>
  <c r="C27" i="1" s="1"/>
  <c r="E9" i="2"/>
  <c r="G9" i="2" l="1"/>
  <c r="D32" i="2"/>
  <c r="A10" i="2"/>
  <c r="B10" i="2" s="1"/>
  <c r="C28" i="1" s="1"/>
  <c r="E10" i="2"/>
  <c r="G10" i="2" l="1"/>
  <c r="D33" i="2"/>
  <c r="A11" i="2"/>
  <c r="B11" i="2" s="1"/>
  <c r="C29" i="1" s="1"/>
  <c r="E11" i="2"/>
  <c r="G11" i="2" l="1"/>
  <c r="D34" i="2"/>
  <c r="A12" i="2"/>
  <c r="B12" i="2" s="1"/>
  <c r="C30" i="1" s="1"/>
  <c r="E12" i="2"/>
  <c r="G12" i="2" l="1"/>
  <c r="D35" i="2"/>
  <c r="A13" i="2"/>
  <c r="B13" i="2" s="1"/>
  <c r="C31" i="1" s="1"/>
  <c r="E13" i="2"/>
  <c r="G13" i="2" l="1"/>
  <c r="D36" i="2"/>
  <c r="A14" i="2"/>
  <c r="E14" i="2"/>
  <c r="B14" i="2" l="1"/>
  <c r="E15" i="2" s="1"/>
  <c r="G14" i="2"/>
  <c r="D37" i="2"/>
  <c r="C32" i="1" l="1"/>
  <c r="A15" i="2"/>
  <c r="B15" i="2" s="1"/>
  <c r="C33" i="1" s="1"/>
  <c r="G15" i="2"/>
  <c r="D38" i="2"/>
  <c r="E16" i="2" l="1"/>
  <c r="G16" i="2" s="1"/>
  <c r="A16" i="2"/>
  <c r="B16" i="2" s="1"/>
  <c r="C34" i="1" s="1"/>
  <c r="D39" i="2"/>
  <c r="A17" i="2" l="1"/>
  <c r="B17" i="2" s="1"/>
  <c r="C35" i="1" s="1"/>
  <c r="E17" i="2"/>
  <c r="G17" i="2" s="1"/>
  <c r="D40" i="2"/>
  <c r="A18" i="2" l="1"/>
  <c r="E18" i="2"/>
  <c r="G18" i="2" s="1"/>
  <c r="D41" i="2"/>
  <c r="B18" i="2" l="1"/>
  <c r="E19" i="2" s="1"/>
  <c r="G19" i="2" s="1"/>
  <c r="D42" i="2"/>
  <c r="C36" i="1" l="1"/>
  <c r="A19" i="2"/>
  <c r="D43" i="2"/>
  <c r="B19" i="2" l="1"/>
  <c r="D44" i="2"/>
  <c r="E20" i="2" l="1"/>
  <c r="G20" i="2" s="1"/>
  <c r="A20" i="2"/>
  <c r="C37" i="1"/>
  <c r="D45" i="2"/>
  <c r="B20" i="2" l="1"/>
  <c r="D46" i="2"/>
  <c r="E21" i="2" l="1"/>
  <c r="G21" i="2" s="1"/>
  <c r="A21" i="2"/>
  <c r="C38" i="1"/>
  <c r="D47" i="2"/>
  <c r="B21" i="2" l="1"/>
  <c r="D48" i="2"/>
  <c r="A22" i="2" l="1"/>
  <c r="E22" i="2"/>
  <c r="G22" i="2" s="1"/>
  <c r="C39" i="1"/>
  <c r="D49" i="2"/>
  <c r="B22" i="2" l="1"/>
  <c r="D50" i="2"/>
  <c r="A23" i="2" l="1"/>
  <c r="E23" i="2"/>
  <c r="G23" i="2" s="1"/>
  <c r="C40" i="1"/>
  <c r="D51" i="2"/>
  <c r="B23" i="2" l="1"/>
  <c r="D52" i="2"/>
  <c r="A24" i="2" l="1"/>
  <c r="B24" i="2" s="1"/>
  <c r="E24" i="2"/>
  <c r="G24" i="2" s="1"/>
  <c r="C41" i="1"/>
  <c r="D53" i="2"/>
  <c r="C42" i="1" l="1"/>
  <c r="E25" i="2"/>
  <c r="G25" i="2" s="1"/>
  <c r="A25" i="2"/>
  <c r="B25" i="2" s="1"/>
  <c r="D54" i="2"/>
  <c r="C43" i="1" l="1"/>
  <c r="E26" i="2"/>
  <c r="G26" i="2" s="1"/>
  <c r="A26" i="2"/>
  <c r="B26" i="2" s="1"/>
  <c r="D55" i="2"/>
  <c r="C44" i="1" l="1"/>
  <c r="A27" i="2"/>
  <c r="B27" i="2" s="1"/>
  <c r="E27" i="2"/>
  <c r="G27" i="2" s="1"/>
  <c r="D56" i="2"/>
  <c r="C45" i="1" l="1"/>
  <c r="E28" i="2"/>
  <c r="G28" i="2" s="1"/>
  <c r="A28" i="2"/>
  <c r="B28" i="2" s="1"/>
  <c r="D57" i="2"/>
  <c r="C46" i="1" l="1"/>
  <c r="E29" i="2"/>
  <c r="G29" i="2" s="1"/>
  <c r="A29" i="2"/>
  <c r="B29" i="2" s="1"/>
  <c r="D58" i="2"/>
  <c r="C47" i="1" l="1"/>
  <c r="E30" i="2"/>
  <c r="G30" i="2" s="1"/>
  <c r="A30" i="2"/>
  <c r="B30" i="2" s="1"/>
  <c r="D59" i="2"/>
  <c r="C48" i="1" l="1"/>
  <c r="E31" i="2"/>
  <c r="G31" i="2" s="1"/>
  <c r="A31" i="2"/>
  <c r="B31" i="2" s="1"/>
  <c r="D60" i="2"/>
  <c r="C49" i="1" l="1"/>
  <c r="A32" i="2"/>
  <c r="B32" i="2" s="1"/>
  <c r="E32" i="2"/>
  <c r="G32" i="2" s="1"/>
  <c r="D61" i="2"/>
  <c r="C50" i="1" l="1"/>
  <c r="A33" i="2"/>
  <c r="B33" i="2" s="1"/>
  <c r="E33" i="2"/>
  <c r="G33" i="2" s="1"/>
  <c r="D62" i="2"/>
  <c r="C51" i="1" l="1"/>
  <c r="E34" i="2"/>
  <c r="G34" i="2" s="1"/>
  <c r="A34" i="2"/>
  <c r="B34" i="2" s="1"/>
  <c r="D63" i="2"/>
  <c r="C52" i="1" l="1"/>
  <c r="A35" i="2"/>
  <c r="B35" i="2" s="1"/>
  <c r="E35" i="2"/>
  <c r="G35" i="2" s="1"/>
  <c r="D64" i="2"/>
  <c r="C53" i="1" l="1"/>
  <c r="E36" i="2"/>
  <c r="G36" i="2" s="1"/>
  <c r="A36" i="2"/>
  <c r="B36" i="2" s="1"/>
  <c r="D65" i="2"/>
  <c r="C54" i="1" l="1"/>
  <c r="A37" i="2"/>
  <c r="B37" i="2" s="1"/>
  <c r="E37" i="2"/>
  <c r="G37" i="2" s="1"/>
  <c r="D66" i="2"/>
  <c r="C55" i="1" l="1"/>
  <c r="E38" i="2"/>
  <c r="G38" i="2" s="1"/>
  <c r="A38" i="2"/>
  <c r="B38" i="2" s="1"/>
  <c r="D67" i="2"/>
  <c r="C56" i="1" l="1"/>
  <c r="E39" i="2"/>
  <c r="G39" i="2" s="1"/>
  <c r="A39" i="2"/>
  <c r="B39" i="2" s="1"/>
  <c r="D68" i="2"/>
  <c r="C57" i="1" l="1"/>
  <c r="A40" i="2"/>
  <c r="B40" i="2" s="1"/>
  <c r="E40" i="2"/>
  <c r="G40" i="2" s="1"/>
  <c r="D69" i="2"/>
  <c r="C58" i="1" l="1"/>
  <c r="A41" i="2"/>
  <c r="B41" i="2" s="1"/>
  <c r="E41" i="2"/>
  <c r="G41" i="2" s="1"/>
  <c r="D70" i="2"/>
  <c r="C59" i="1" l="1"/>
  <c r="E42" i="2"/>
  <c r="G42" i="2" s="1"/>
  <c r="A42" i="2"/>
  <c r="B42" i="2" s="1"/>
  <c r="D71" i="2"/>
  <c r="C60" i="1" l="1"/>
  <c r="A43" i="2"/>
  <c r="B43" i="2" s="1"/>
  <c r="E43" i="2"/>
  <c r="G43" i="2" s="1"/>
  <c r="D72" i="2"/>
  <c r="C61" i="1" l="1"/>
  <c r="A44" i="2"/>
  <c r="B44" i="2" s="1"/>
  <c r="E44" i="2"/>
  <c r="G44" i="2" s="1"/>
  <c r="D73" i="2"/>
  <c r="C62" i="1" l="1"/>
  <c r="E45" i="2"/>
  <c r="G45" i="2" s="1"/>
  <c r="A45" i="2"/>
  <c r="B45" i="2" s="1"/>
  <c r="D74" i="2"/>
  <c r="C63" i="1" l="1"/>
  <c r="E46" i="2"/>
  <c r="G46" i="2" s="1"/>
  <c r="A46" i="2"/>
  <c r="B46" i="2" s="1"/>
  <c r="D75" i="2"/>
  <c r="C64" i="1" l="1"/>
  <c r="A47" i="2"/>
  <c r="B47" i="2" s="1"/>
  <c r="E47" i="2"/>
  <c r="G47" i="2" s="1"/>
  <c r="D76" i="2"/>
  <c r="C65" i="1" l="1"/>
  <c r="E48" i="2"/>
  <c r="G48" i="2" s="1"/>
  <c r="A48" i="2"/>
  <c r="B48" i="2" s="1"/>
  <c r="D77" i="2"/>
  <c r="C66" i="1" l="1"/>
  <c r="A49" i="2"/>
  <c r="B49" i="2" s="1"/>
  <c r="E49" i="2"/>
  <c r="G49" i="2" s="1"/>
  <c r="D78" i="2"/>
  <c r="C67" i="1" l="1"/>
  <c r="E50" i="2"/>
  <c r="G50" i="2" s="1"/>
  <c r="A50" i="2"/>
  <c r="B50" i="2" s="1"/>
  <c r="D79" i="2"/>
  <c r="C68" i="1" l="1"/>
  <c r="E51" i="2"/>
  <c r="G51" i="2" s="1"/>
  <c r="A51" i="2"/>
  <c r="B51" i="2" s="1"/>
  <c r="D80" i="2"/>
  <c r="C69" i="1" l="1"/>
  <c r="A52" i="2"/>
  <c r="B52" i="2" s="1"/>
  <c r="E52" i="2"/>
  <c r="G52" i="2" s="1"/>
  <c r="D81" i="2"/>
  <c r="C70" i="1" l="1"/>
  <c r="E53" i="2"/>
  <c r="G53" i="2" s="1"/>
  <c r="A53" i="2"/>
  <c r="B53" i="2" s="1"/>
  <c r="D82" i="2"/>
  <c r="C71" i="1" l="1"/>
  <c r="E54" i="2"/>
  <c r="G54" i="2" s="1"/>
  <c r="A54" i="2"/>
  <c r="B54" i="2" s="1"/>
  <c r="D83" i="2"/>
  <c r="C72" i="1" l="1"/>
  <c r="E55" i="2"/>
  <c r="G55" i="2" s="1"/>
  <c r="A55" i="2"/>
  <c r="B55" i="2" s="1"/>
  <c r="D84" i="2"/>
  <c r="C73" i="1" l="1"/>
  <c r="E56" i="2"/>
  <c r="G56" i="2" s="1"/>
  <c r="A56" i="2"/>
  <c r="B56" i="2" s="1"/>
  <c r="D85" i="2"/>
  <c r="C74" i="1" l="1"/>
  <c r="E57" i="2"/>
  <c r="G57" i="2" s="1"/>
  <c r="A57" i="2"/>
  <c r="B57" i="2" s="1"/>
  <c r="D86" i="2"/>
  <c r="C75" i="1" l="1"/>
  <c r="A58" i="2"/>
  <c r="B58" i="2" s="1"/>
  <c r="E58" i="2"/>
  <c r="G58" i="2" s="1"/>
  <c r="D87" i="2"/>
  <c r="C76" i="1" l="1"/>
  <c r="E59" i="2"/>
  <c r="G59" i="2" s="1"/>
  <c r="A59" i="2"/>
  <c r="B59" i="2" s="1"/>
  <c r="D88" i="2"/>
  <c r="C77" i="1" l="1"/>
  <c r="E60" i="2"/>
  <c r="G60" i="2" s="1"/>
  <c r="A60" i="2"/>
  <c r="B60" i="2" s="1"/>
  <c r="D89" i="2"/>
  <c r="C78" i="1" l="1"/>
  <c r="E61" i="2"/>
  <c r="G61" i="2" s="1"/>
  <c r="A61" i="2"/>
  <c r="B61" i="2" s="1"/>
  <c r="D90" i="2"/>
  <c r="C79" i="1" l="1"/>
  <c r="A62" i="2"/>
  <c r="B62" i="2" s="1"/>
  <c r="E62" i="2"/>
  <c r="G62" i="2" s="1"/>
  <c r="D91" i="2"/>
  <c r="C80" i="1" l="1"/>
  <c r="E63" i="2"/>
  <c r="G63" i="2" s="1"/>
  <c r="A63" i="2"/>
  <c r="B63" i="2" s="1"/>
  <c r="D92" i="2"/>
  <c r="C81" i="1" l="1"/>
  <c r="E64" i="2"/>
  <c r="G64" i="2" s="1"/>
  <c r="A64" i="2"/>
  <c r="B64" i="2" s="1"/>
  <c r="D93" i="2"/>
  <c r="C82" i="1" l="1"/>
  <c r="E65" i="2"/>
  <c r="G65" i="2" s="1"/>
  <c r="A65" i="2"/>
  <c r="B65" i="2" s="1"/>
  <c r="D94" i="2"/>
  <c r="C83" i="1" l="1"/>
  <c r="E66" i="2"/>
  <c r="G66" i="2" s="1"/>
  <c r="A66" i="2"/>
  <c r="B66" i="2" s="1"/>
  <c r="D95" i="2"/>
  <c r="C84" i="1" l="1"/>
  <c r="A67" i="2"/>
  <c r="B67" i="2" s="1"/>
  <c r="E67" i="2"/>
  <c r="G67" i="2" s="1"/>
  <c r="D96" i="2"/>
  <c r="C85" i="1" l="1"/>
  <c r="A68" i="2"/>
  <c r="B68" i="2" s="1"/>
  <c r="E68" i="2"/>
  <c r="G68" i="2" s="1"/>
  <c r="D97" i="2"/>
  <c r="C86" i="1" l="1"/>
  <c r="A69" i="2"/>
  <c r="B69" i="2" s="1"/>
  <c r="E69" i="2"/>
  <c r="G69" i="2" s="1"/>
  <c r="D98" i="2"/>
  <c r="C87" i="1" l="1"/>
  <c r="E70" i="2"/>
  <c r="G70" i="2" s="1"/>
  <c r="A70" i="2"/>
  <c r="B70" i="2" s="1"/>
  <c r="D99" i="2"/>
  <c r="C88" i="1" l="1"/>
  <c r="E71" i="2"/>
  <c r="G71" i="2" s="1"/>
  <c r="A71" i="2"/>
  <c r="B71" i="2" s="1"/>
  <c r="D100" i="2"/>
  <c r="C89" i="1" l="1"/>
  <c r="E72" i="2"/>
  <c r="G72" i="2" s="1"/>
  <c r="A72" i="2"/>
  <c r="B72" i="2" s="1"/>
  <c r="D101" i="2"/>
  <c r="C90" i="1" l="1"/>
  <c r="A73" i="2"/>
  <c r="B73" i="2" s="1"/>
  <c r="E73" i="2"/>
  <c r="G73" i="2" s="1"/>
  <c r="D102" i="2"/>
  <c r="C91" i="1" l="1"/>
  <c r="A74" i="2"/>
  <c r="B74" i="2" s="1"/>
  <c r="E74" i="2"/>
  <c r="G74" i="2" s="1"/>
  <c r="D103" i="2"/>
  <c r="C92" i="1" l="1"/>
  <c r="A75" i="2"/>
  <c r="B75" i="2" s="1"/>
  <c r="E75" i="2"/>
  <c r="G75" i="2" s="1"/>
  <c r="D104" i="2"/>
  <c r="C93" i="1" l="1"/>
  <c r="E76" i="2"/>
  <c r="G76" i="2" s="1"/>
  <c r="A76" i="2"/>
  <c r="B76" i="2" s="1"/>
  <c r="D105" i="2"/>
  <c r="C94" i="1" l="1"/>
  <c r="E77" i="2"/>
  <c r="G77" i="2" s="1"/>
  <c r="A77" i="2"/>
  <c r="B77" i="2" s="1"/>
  <c r="D106" i="2"/>
  <c r="C95" i="1" l="1"/>
  <c r="E78" i="2"/>
  <c r="G78" i="2" s="1"/>
  <c r="A78" i="2"/>
  <c r="B78" i="2" s="1"/>
  <c r="D107" i="2"/>
  <c r="C96" i="1" l="1"/>
  <c r="A79" i="2"/>
  <c r="B79" i="2" s="1"/>
  <c r="E79" i="2"/>
  <c r="G79" i="2" s="1"/>
  <c r="D108" i="2"/>
  <c r="C97" i="1" l="1"/>
  <c r="A80" i="2"/>
  <c r="B80" i="2" s="1"/>
  <c r="E80" i="2"/>
  <c r="G80" i="2" s="1"/>
  <c r="D109" i="2"/>
  <c r="C98" i="1" l="1"/>
  <c r="A81" i="2"/>
  <c r="B81" i="2" s="1"/>
  <c r="E81" i="2"/>
  <c r="G81" i="2" s="1"/>
  <c r="D110" i="2"/>
  <c r="C99" i="1" l="1"/>
  <c r="A82" i="2"/>
  <c r="B82" i="2" s="1"/>
  <c r="E82" i="2"/>
  <c r="G82" i="2" s="1"/>
  <c r="D111" i="2"/>
  <c r="C100" i="1" l="1"/>
  <c r="E83" i="2"/>
  <c r="G83" i="2" s="1"/>
  <c r="A83" i="2"/>
  <c r="B83" i="2" s="1"/>
  <c r="D112" i="2"/>
  <c r="C101" i="1" l="1"/>
  <c r="A84" i="2"/>
  <c r="B84" i="2" s="1"/>
  <c r="E84" i="2"/>
  <c r="G84" i="2" s="1"/>
  <c r="D113" i="2"/>
  <c r="C102" i="1" l="1"/>
  <c r="A85" i="2"/>
  <c r="B85" i="2" s="1"/>
  <c r="E85" i="2"/>
  <c r="G85" i="2" s="1"/>
  <c r="D114" i="2"/>
  <c r="C103" i="1" l="1"/>
  <c r="E86" i="2"/>
  <c r="G86" i="2" s="1"/>
  <c r="A86" i="2"/>
  <c r="B86" i="2" s="1"/>
  <c r="D115" i="2"/>
  <c r="C104" i="1" l="1"/>
  <c r="A87" i="2"/>
  <c r="B87" i="2" s="1"/>
  <c r="E87" i="2"/>
  <c r="G87" i="2" s="1"/>
  <c r="D116" i="2"/>
  <c r="C105" i="1" l="1"/>
  <c r="A88" i="2"/>
  <c r="B88" i="2" s="1"/>
  <c r="E88" i="2"/>
  <c r="G88" i="2" s="1"/>
  <c r="D117" i="2"/>
  <c r="C106" i="1" l="1"/>
  <c r="E89" i="2"/>
  <c r="G89" i="2" s="1"/>
  <c r="A89" i="2"/>
  <c r="B89" i="2" s="1"/>
  <c r="D118" i="2"/>
  <c r="C107" i="1" l="1"/>
  <c r="E90" i="2"/>
  <c r="G90" i="2" s="1"/>
  <c r="A90" i="2"/>
  <c r="B90" i="2" s="1"/>
  <c r="D119" i="2"/>
  <c r="C108" i="1" l="1"/>
  <c r="E91" i="2"/>
  <c r="G91" i="2" s="1"/>
  <c r="A91" i="2"/>
  <c r="B91" i="2" s="1"/>
  <c r="D120" i="2"/>
  <c r="C109" i="1" l="1"/>
  <c r="E92" i="2"/>
  <c r="G92" i="2" s="1"/>
  <c r="A92" i="2"/>
  <c r="B92" i="2" s="1"/>
  <c r="D121" i="2"/>
  <c r="C110" i="1" l="1"/>
  <c r="E93" i="2"/>
  <c r="G93" i="2" s="1"/>
  <c r="A93" i="2"/>
  <c r="B93" i="2" s="1"/>
  <c r="D122" i="2"/>
  <c r="C111" i="1" l="1"/>
  <c r="A94" i="2"/>
  <c r="B94" i="2" s="1"/>
  <c r="E94" i="2"/>
  <c r="G94" i="2" s="1"/>
  <c r="D123" i="2"/>
  <c r="C112" i="1" l="1"/>
  <c r="A95" i="2"/>
  <c r="B95" i="2" s="1"/>
  <c r="E95" i="2"/>
  <c r="G95" i="2" s="1"/>
  <c r="D124" i="2"/>
  <c r="C113" i="1" l="1"/>
  <c r="A96" i="2"/>
  <c r="B96" i="2" s="1"/>
  <c r="E96" i="2"/>
  <c r="G96" i="2" s="1"/>
  <c r="D125" i="2"/>
  <c r="C114" i="1" l="1"/>
  <c r="A97" i="2"/>
  <c r="B97" i="2" s="1"/>
  <c r="E97" i="2"/>
  <c r="G97" i="2" s="1"/>
  <c r="C115" i="1" l="1"/>
  <c r="E98" i="2"/>
  <c r="G98" i="2" s="1"/>
  <c r="A98" i="2"/>
  <c r="B98" i="2" s="1"/>
  <c r="C116" i="1" l="1"/>
  <c r="A99" i="2"/>
  <c r="B99" i="2" s="1"/>
  <c r="E99" i="2"/>
  <c r="G99" i="2" s="1"/>
  <c r="C117" i="1" l="1"/>
  <c r="E100" i="2"/>
  <c r="G100" i="2" s="1"/>
  <c r="A100" i="2"/>
  <c r="B100" i="2" s="1"/>
  <c r="C118" i="1" l="1"/>
  <c r="E101" i="2"/>
  <c r="G101" i="2" s="1"/>
  <c r="A101" i="2"/>
  <c r="B101" i="2" s="1"/>
  <c r="C119" i="1" l="1"/>
  <c r="E102" i="2"/>
  <c r="G102" i="2" s="1"/>
  <c r="A102" i="2"/>
  <c r="B102" i="2" s="1"/>
  <c r="C120" i="1" l="1"/>
  <c r="A103" i="2"/>
  <c r="B103" i="2" s="1"/>
  <c r="E103" i="2"/>
  <c r="G103" i="2" s="1"/>
  <c r="C121" i="1" l="1"/>
  <c r="E104" i="2"/>
  <c r="G104" i="2" s="1"/>
  <c r="A104" i="2"/>
  <c r="B104" i="2" s="1"/>
  <c r="C122" i="1" l="1"/>
  <c r="A105" i="2"/>
  <c r="B105" i="2" s="1"/>
  <c r="E105" i="2"/>
  <c r="G105" i="2" s="1"/>
  <c r="C123" i="1" l="1"/>
  <c r="A106" i="2"/>
  <c r="B106" i="2" s="1"/>
  <c r="E106" i="2"/>
  <c r="G106" i="2" s="1"/>
  <c r="C124" i="1" l="1"/>
  <c r="E107" i="2"/>
  <c r="G107" i="2" s="1"/>
  <c r="A107" i="2"/>
  <c r="B107" i="2" s="1"/>
  <c r="C125" i="1" l="1"/>
  <c r="E108" i="2"/>
  <c r="G108" i="2" s="1"/>
  <c r="A108" i="2"/>
  <c r="B108" i="2" s="1"/>
  <c r="C126" i="1" l="1"/>
  <c r="E109" i="2"/>
  <c r="G109" i="2" s="1"/>
  <c r="A109" i="2"/>
  <c r="B109" i="2" s="1"/>
  <c r="C127" i="1" l="1"/>
  <c r="E110" i="2"/>
  <c r="G110" i="2" s="1"/>
  <c r="A110" i="2"/>
  <c r="B110" i="2" s="1"/>
  <c r="C128" i="1" l="1"/>
  <c r="A111" i="2"/>
  <c r="B111" i="2" s="1"/>
  <c r="E111" i="2"/>
  <c r="G111" i="2" s="1"/>
  <c r="C129" i="1" l="1"/>
  <c r="E112" i="2"/>
  <c r="G112" i="2" s="1"/>
  <c r="A112" i="2"/>
  <c r="B112" i="2" s="1"/>
  <c r="C130" i="1" l="1"/>
  <c r="E113" i="2"/>
  <c r="G113" i="2" s="1"/>
  <c r="A113" i="2"/>
  <c r="B113" i="2" s="1"/>
  <c r="C131" i="1" l="1"/>
  <c r="A114" i="2"/>
  <c r="B114" i="2" s="1"/>
  <c r="E114" i="2"/>
  <c r="G114" i="2" s="1"/>
  <c r="C132" i="1" l="1"/>
  <c r="E115" i="2"/>
  <c r="G115" i="2" s="1"/>
  <c r="A115" i="2"/>
  <c r="B115" i="2" s="1"/>
  <c r="C133" i="1" l="1"/>
  <c r="E116" i="2"/>
  <c r="G116" i="2" s="1"/>
  <c r="A116" i="2"/>
  <c r="B116" i="2" s="1"/>
  <c r="C134" i="1" l="1"/>
  <c r="E117" i="2"/>
  <c r="G117" i="2" s="1"/>
  <c r="A117" i="2"/>
  <c r="B117" i="2" s="1"/>
  <c r="C135" i="1" l="1"/>
  <c r="E118" i="2"/>
  <c r="G118" i="2" s="1"/>
  <c r="A118" i="2"/>
  <c r="B118" i="2" s="1"/>
  <c r="C136" i="1" l="1"/>
  <c r="A119" i="2"/>
  <c r="B119" i="2" s="1"/>
  <c r="E119" i="2"/>
  <c r="G119" i="2" s="1"/>
  <c r="C137" i="1" l="1"/>
  <c r="A120" i="2"/>
  <c r="B120" i="2" s="1"/>
  <c r="E120" i="2"/>
  <c r="G120" i="2" s="1"/>
  <c r="C138" i="1" l="1"/>
  <c r="A121" i="2"/>
  <c r="B121" i="2" s="1"/>
  <c r="E121" i="2"/>
  <c r="G121" i="2" s="1"/>
  <c r="F23" i="1"/>
  <c r="L23" i="1" s="1"/>
  <c r="D25" i="1"/>
  <c r="C139" i="1" l="1"/>
  <c r="E122" i="2"/>
  <c r="G122" i="2" s="1"/>
  <c r="A122" i="2"/>
  <c r="B122" i="2" s="1"/>
  <c r="D23" i="1"/>
  <c r="D24" i="1"/>
  <c r="C140" i="1" l="1"/>
  <c r="E123" i="2"/>
  <c r="G123" i="2" s="1"/>
  <c r="A123" i="2"/>
  <c r="B123" i="2" s="1"/>
  <c r="D26" i="1"/>
  <c r="C141" i="1" l="1"/>
  <c r="E124" i="2"/>
  <c r="G124" i="2" s="1"/>
  <c r="A124" i="2"/>
  <c r="B124" i="2" s="1"/>
  <c r="D27" i="1"/>
  <c r="D28" i="1"/>
  <c r="C142" i="1" l="1"/>
  <c r="E125" i="2"/>
  <c r="G125" i="2" s="1"/>
  <c r="D29" i="1"/>
  <c r="D30" i="1" l="1"/>
  <c r="D31" i="1" l="1"/>
  <c r="D32" i="1" l="1"/>
  <c r="D33" i="1" l="1"/>
  <c r="D34" i="1" l="1"/>
  <c r="D35" i="1" l="1"/>
  <c r="D36" i="1" l="1"/>
  <c r="D37" i="1" l="1"/>
  <c r="D38" i="1" l="1"/>
  <c r="D39" i="1" l="1"/>
  <c r="D40" i="1" l="1"/>
  <c r="D41" i="1" l="1"/>
  <c r="D42" i="1" l="1"/>
  <c r="D43" i="1" l="1"/>
  <c r="D44" i="1" l="1"/>
  <c r="D45" i="1" l="1"/>
  <c r="D46" i="1" l="1"/>
  <c r="D47" i="1" l="1"/>
  <c r="D48" i="1" l="1"/>
  <c r="D49" i="1" l="1"/>
  <c r="D50" i="1" l="1"/>
  <c r="D51" i="1" l="1"/>
  <c r="D52" i="1" l="1"/>
  <c r="D53" i="1" l="1"/>
  <c r="D54" i="1" l="1"/>
  <c r="D55" i="1" l="1"/>
  <c r="D56" i="1" l="1"/>
  <c r="D57" i="1" l="1"/>
  <c r="D58" i="1" l="1"/>
  <c r="D59" i="1" l="1"/>
  <c r="D60" i="1" l="1"/>
  <c r="D61" i="1" l="1"/>
  <c r="D62" i="1" l="1"/>
  <c r="D63" i="1" l="1"/>
  <c r="D64" i="1" l="1"/>
  <c r="D65" i="1" l="1"/>
  <c r="D66" i="1" l="1"/>
  <c r="D67" i="1" l="1"/>
  <c r="D68" i="1" l="1"/>
  <c r="D69" i="1" l="1"/>
  <c r="D70" i="1" l="1"/>
  <c r="D71" i="1" l="1"/>
  <c r="D72" i="1" l="1"/>
  <c r="D73" i="1" l="1"/>
  <c r="D74" i="1" l="1"/>
  <c r="D75" i="1" l="1"/>
  <c r="D76" i="1" l="1"/>
  <c r="D77" i="1" l="1"/>
  <c r="D78" i="1" l="1"/>
  <c r="D79" i="1" l="1"/>
  <c r="D80" i="1" l="1"/>
  <c r="D81" i="1" l="1"/>
  <c r="D82" i="1" l="1"/>
  <c r="D83" i="1" l="1"/>
  <c r="D84" i="1" l="1"/>
  <c r="D85" i="1" l="1"/>
  <c r="D86" i="1" l="1"/>
  <c r="D87" i="1" l="1"/>
  <c r="D88" i="1" l="1"/>
  <c r="D89" i="1" l="1"/>
  <c r="D90" i="1" l="1"/>
  <c r="D91" i="1" l="1"/>
  <c r="D92" i="1" l="1"/>
  <c r="D93" i="1" l="1"/>
  <c r="D94" i="1" l="1"/>
  <c r="D95" i="1" l="1"/>
  <c r="D96" i="1" l="1"/>
  <c r="D97" i="1" l="1"/>
  <c r="D98" i="1" l="1"/>
  <c r="D99" i="1" l="1"/>
  <c r="D100" i="1" l="1"/>
  <c r="D101" i="1" l="1"/>
  <c r="D102" i="1" l="1"/>
  <c r="D103" i="1" l="1"/>
  <c r="D104" i="1" l="1"/>
  <c r="D105" i="1" l="1"/>
  <c r="D106" i="1" l="1"/>
  <c r="D107" i="1" l="1"/>
  <c r="D108" i="1" l="1"/>
  <c r="D109" i="1" l="1"/>
  <c r="D110" i="1" l="1"/>
  <c r="D111" i="1" l="1"/>
  <c r="D112" i="1" l="1"/>
  <c r="D113" i="1" l="1"/>
  <c r="D114" i="1" l="1"/>
  <c r="D115" i="1" l="1"/>
  <c r="D116" i="1" l="1"/>
  <c r="D117" i="1" l="1"/>
  <c r="D118" i="1" l="1"/>
  <c r="D119" i="1" l="1"/>
  <c r="D120" i="1" l="1"/>
  <c r="D121" i="1" l="1"/>
  <c r="D122" i="1" l="1"/>
  <c r="D123" i="1" l="1"/>
  <c r="D124" i="1" l="1"/>
  <c r="D125" i="1" l="1"/>
  <c r="D126" i="1" l="1"/>
  <c r="D127" i="1" l="1"/>
  <c r="D128" i="1" l="1"/>
  <c r="D129" i="1" l="1"/>
  <c r="D130" i="1" l="1"/>
  <c r="D131" i="1" l="1"/>
  <c r="D132" i="1" l="1"/>
  <c r="D133" i="1" l="1"/>
  <c r="D134" i="1" l="1"/>
  <c r="D135" i="1" l="1"/>
  <c r="D136" i="1" l="1"/>
  <c r="D137" i="1" l="1"/>
  <c r="D138" i="1" l="1"/>
  <c r="D139" i="1" l="1"/>
  <c r="D140" i="1" l="1"/>
  <c r="D141" i="1" l="1"/>
  <c r="D142" i="1" l="1"/>
  <c r="F66" i="2" l="1"/>
  <c r="F94" i="2"/>
  <c r="F30" i="2"/>
  <c r="F92" i="2"/>
  <c r="F28" i="2"/>
  <c r="F91" i="2"/>
  <c r="F10" i="2"/>
  <c r="F99" i="2"/>
  <c r="F113" i="2"/>
  <c r="F69" i="2"/>
  <c r="F15" i="2"/>
  <c r="F8" i="2"/>
  <c r="F55" i="2"/>
  <c r="F85" i="2"/>
  <c r="F122" i="2"/>
  <c r="F58" i="2"/>
  <c r="F121" i="2"/>
  <c r="F86" i="2"/>
  <c r="F22" i="2"/>
  <c r="F84" i="2"/>
  <c r="F20" i="2"/>
  <c r="F75" i="2"/>
  <c r="F97" i="2"/>
  <c r="F83" i="2"/>
  <c r="F89" i="2"/>
  <c r="F48" i="2"/>
  <c r="F9" i="2"/>
  <c r="F39" i="2"/>
  <c r="F117" i="2"/>
  <c r="F29" i="2"/>
  <c r="F114" i="2"/>
  <c r="F34" i="2"/>
  <c r="F105" i="2"/>
  <c r="F78" i="2"/>
  <c r="F14" i="2"/>
  <c r="F76" i="2"/>
  <c r="F12" i="2"/>
  <c r="F59" i="2"/>
  <c r="F81" i="2"/>
  <c r="F67" i="2"/>
  <c r="F57" i="2"/>
  <c r="F32" i="2"/>
  <c r="F120" i="2"/>
  <c r="F23" i="2"/>
  <c r="F95" i="2"/>
  <c r="F112" i="2"/>
  <c r="F106" i="2"/>
  <c r="F65" i="2"/>
  <c r="F73" i="2"/>
  <c r="F70" i="2"/>
  <c r="F68" i="2"/>
  <c r="F7" i="2"/>
  <c r="F43" i="2"/>
  <c r="F51" i="2"/>
  <c r="F16" i="2"/>
  <c r="F109" i="2"/>
  <c r="F63" i="2"/>
  <c r="F101" i="2"/>
  <c r="F53" i="2"/>
  <c r="F72" i="2"/>
  <c r="F93" i="2"/>
  <c r="F25" i="2"/>
  <c r="F98" i="2"/>
  <c r="F82" i="2"/>
  <c r="F110" i="2"/>
  <c r="F46" i="2"/>
  <c r="F108" i="2"/>
  <c r="F44" i="2"/>
  <c r="F123" i="2"/>
  <c r="F42" i="2"/>
  <c r="F50" i="2"/>
  <c r="F111" i="2"/>
  <c r="F45" i="2"/>
  <c r="F47" i="2"/>
  <c r="F41" i="2"/>
  <c r="F40" i="2"/>
  <c r="F96" i="2"/>
  <c r="F61" i="2"/>
  <c r="F33" i="2"/>
  <c r="F74" i="2"/>
  <c r="F102" i="2"/>
  <c r="F38" i="2"/>
  <c r="F100" i="2"/>
  <c r="F36" i="2"/>
  <c r="F107" i="2"/>
  <c r="F18" i="2"/>
  <c r="F90" i="2"/>
  <c r="F60" i="2"/>
  <c r="F88" i="2"/>
  <c r="F21" i="2"/>
  <c r="F17" i="2"/>
  <c r="F52" i="2"/>
  <c r="F103" i="2"/>
  <c r="F115" i="2"/>
  <c r="F104" i="2"/>
  <c r="F79" i="2"/>
  <c r="F35" i="2"/>
  <c r="F80" i="2"/>
  <c r="F56" i="2"/>
  <c r="F37" i="2"/>
  <c r="F27" i="2"/>
  <c r="F19" i="2"/>
  <c r="F87" i="2"/>
  <c r="F24" i="2"/>
  <c r="F125" i="2"/>
  <c r="F118" i="2"/>
  <c r="F11" i="2"/>
  <c r="F26" i="2"/>
  <c r="F64" i="2"/>
  <c r="F62" i="2"/>
  <c r="F124" i="2"/>
  <c r="F31" i="2"/>
  <c r="F119" i="2"/>
  <c r="F71" i="2"/>
  <c r="F6" i="2"/>
  <c r="F54" i="2"/>
  <c r="F116" i="2"/>
  <c r="F13" i="2"/>
  <c r="F77" i="2"/>
  <c r="F49" i="2"/>
  <c r="F4" i="2" l="1"/>
  <c r="H67" i="2" l="1"/>
  <c r="H91" i="2"/>
  <c r="H99" i="2"/>
  <c r="H107" i="2"/>
  <c r="H115" i="2"/>
  <c r="H123" i="2"/>
  <c r="H92" i="2"/>
  <c r="H100" i="2"/>
  <c r="H108" i="2"/>
  <c r="H116" i="2"/>
  <c r="H124" i="2"/>
  <c r="H101" i="2"/>
  <c r="H109" i="2"/>
  <c r="H117" i="2"/>
  <c r="H93" i="2"/>
  <c r="H86" i="2"/>
  <c r="H94" i="2"/>
  <c r="H102" i="2"/>
  <c r="H110" i="2"/>
  <c r="H118" i="2"/>
  <c r="H95" i="2"/>
  <c r="H111" i="2"/>
  <c r="H88" i="2"/>
  <c r="H96" i="2"/>
  <c r="H112" i="2"/>
  <c r="H90" i="2"/>
  <c r="H114" i="2"/>
  <c r="H87" i="2"/>
  <c r="H103" i="2"/>
  <c r="H119" i="2"/>
  <c r="H104" i="2"/>
  <c r="H120" i="2"/>
  <c r="H106" i="2"/>
  <c r="H122" i="2"/>
  <c r="H89" i="2"/>
  <c r="H97" i="2"/>
  <c r="H113" i="2"/>
  <c r="H121" i="2"/>
  <c r="H98" i="2"/>
  <c r="H125" i="2"/>
  <c r="H45" i="2"/>
  <c r="H74" i="2"/>
  <c r="H82" i="2"/>
  <c r="H75" i="2"/>
  <c r="H83" i="2"/>
  <c r="H76" i="2"/>
  <c r="H84" i="2"/>
  <c r="H79" i="2"/>
  <c r="H69" i="2"/>
  <c r="H77" i="2"/>
  <c r="H70" i="2"/>
  <c r="H78" i="2"/>
  <c r="H71" i="2"/>
  <c r="H72" i="2"/>
  <c r="H80" i="2"/>
  <c r="H73" i="2"/>
  <c r="H81" i="2"/>
  <c r="H54" i="2"/>
  <c r="H58" i="2"/>
  <c r="H64" i="2"/>
  <c r="H46" i="2"/>
  <c r="H52" i="2"/>
  <c r="H51" i="2"/>
  <c r="H50" i="2"/>
  <c r="H49" i="2"/>
  <c r="H59" i="2"/>
  <c r="H56" i="2"/>
  <c r="H61" i="2"/>
  <c r="H43" i="2"/>
  <c r="H42" i="2"/>
  <c r="H63" i="2"/>
  <c r="H60" i="2"/>
  <c r="H57" i="2"/>
  <c r="H48" i="2"/>
  <c r="H62" i="2"/>
  <c r="H8" i="2"/>
  <c r="H6" i="2"/>
  <c r="H7" i="2"/>
  <c r="H12" i="2"/>
  <c r="H11" i="2"/>
  <c r="H10" i="2"/>
  <c r="H9" i="2"/>
  <c r="H13" i="2"/>
  <c r="H14" i="2"/>
  <c r="H16" i="2"/>
  <c r="H27" i="2"/>
  <c r="H21" i="2"/>
  <c r="H24" i="2"/>
  <c r="H18" i="2"/>
  <c r="H23" i="2"/>
  <c r="H26" i="2"/>
  <c r="H28" i="2"/>
  <c r="H19" i="2"/>
  <c r="H20" i="2"/>
  <c r="H22" i="2"/>
  <c r="H25" i="2"/>
  <c r="C19" i="1"/>
  <c r="H40" i="2"/>
  <c r="H31" i="2"/>
  <c r="H4" i="2"/>
  <c r="H38" i="2"/>
  <c r="H34" i="2"/>
  <c r="H33" i="2"/>
  <c r="H32" i="2"/>
  <c r="H30" i="2"/>
  <c r="H37" i="2"/>
  <c r="H39" i="2"/>
  <c r="H36" i="2"/>
  <c r="E24" i="4" l="1"/>
  <c r="J6" i="2"/>
  <c r="I7" i="2"/>
  <c r="M7" i="2" s="1"/>
  <c r="K6" i="2" l="1"/>
  <c r="S6" i="2" s="1"/>
  <c r="L7" i="2"/>
  <c r="E24" i="1"/>
  <c r="Q6" i="2"/>
  <c r="G23" i="1"/>
  <c r="H23" i="1" l="1"/>
  <c r="I23" i="1" s="1"/>
  <c r="J7" i="2"/>
  <c r="F24" i="1"/>
  <c r="L24" i="1" s="1"/>
  <c r="I8" i="2"/>
  <c r="M8" i="2" s="1"/>
  <c r="N23" i="1" l="1"/>
  <c r="M23" i="1" s="1"/>
  <c r="J24" i="1" s="1"/>
  <c r="K24" i="1" s="1"/>
  <c r="K7" i="2"/>
  <c r="H24" i="1" s="1"/>
  <c r="G24" i="1"/>
  <c r="Q7" i="2"/>
  <c r="L8" i="2"/>
  <c r="E25" i="1"/>
  <c r="I24" i="1" l="1"/>
  <c r="N24" i="1" s="1"/>
  <c r="M24" i="1" s="1"/>
  <c r="S7" i="2"/>
  <c r="O23" i="1"/>
  <c r="J8" i="2"/>
  <c r="Q8" i="2" s="1"/>
  <c r="I9" i="2"/>
  <c r="M9" i="2" s="1"/>
  <c r="F25" i="1"/>
  <c r="L25" i="1" s="1"/>
  <c r="O6" i="2"/>
  <c r="K8" i="2" l="1"/>
  <c r="S8" i="2" s="1"/>
  <c r="G25" i="1"/>
  <c r="L9" i="2"/>
  <c r="F26" i="1" s="1"/>
  <c r="L26" i="1" s="1"/>
  <c r="E26" i="1"/>
  <c r="T6" i="2"/>
  <c r="J25" i="1"/>
  <c r="O24" i="1"/>
  <c r="H25" i="1" l="1"/>
  <c r="I25" i="1" s="1"/>
  <c r="N25" i="1" s="1"/>
  <c r="J9" i="2"/>
  <c r="I10" i="2"/>
  <c r="M10" i="2" s="1"/>
  <c r="O7" i="2"/>
  <c r="K25" i="1"/>
  <c r="K9" i="2" l="1"/>
  <c r="S9" i="2" s="1"/>
  <c r="L10" i="2"/>
  <c r="F27" i="1" s="1"/>
  <c r="L27" i="1" s="1"/>
  <c r="Q9" i="2"/>
  <c r="G26" i="1"/>
  <c r="E27" i="1"/>
  <c r="T7" i="2"/>
  <c r="M25" i="1"/>
  <c r="J26" i="1" s="1"/>
  <c r="K26" i="1" s="1"/>
  <c r="H26" i="1" l="1"/>
  <c r="I26" i="1" s="1"/>
  <c r="N26" i="1" s="1"/>
  <c r="J10" i="2"/>
  <c r="I11" i="2"/>
  <c r="M11" i="2" s="1"/>
  <c r="O25" i="1"/>
  <c r="Q10" i="2" l="1"/>
  <c r="L11" i="2"/>
  <c r="F28" i="1" s="1"/>
  <c r="L28" i="1" s="1"/>
  <c r="M26" i="1"/>
  <c r="J27" i="1" s="1"/>
  <c r="K27" i="1" s="1"/>
  <c r="K10" i="2"/>
  <c r="H27" i="1" s="1"/>
  <c r="G27" i="1"/>
  <c r="E28" i="1"/>
  <c r="O8" i="2"/>
  <c r="T8" i="2" s="1"/>
  <c r="O26" i="1" l="1"/>
  <c r="S10" i="2"/>
  <c r="I27" i="1"/>
  <c r="N27" i="1" s="1"/>
  <c r="M27" i="1" s="1"/>
  <c r="J28" i="1" s="1"/>
  <c r="K28" i="1" s="1"/>
  <c r="I12" i="2"/>
  <c r="M12" i="2" s="1"/>
  <c r="J11" i="2"/>
  <c r="G28" i="1" s="1"/>
  <c r="O9" i="2" l="1"/>
  <c r="T9" i="2" s="1"/>
  <c r="O27" i="1"/>
  <c r="E29" i="1"/>
  <c r="L12" i="2"/>
  <c r="J12" i="2" s="1"/>
  <c r="G29" i="1" s="1"/>
  <c r="Q11" i="2"/>
  <c r="K11" i="2"/>
  <c r="H28" i="1" s="1"/>
  <c r="I28" i="1" s="1"/>
  <c r="N28" i="1" s="1"/>
  <c r="M28" i="1" s="1"/>
  <c r="J29" i="1" s="1"/>
  <c r="K29" i="1" s="1"/>
  <c r="I13" i="2" l="1"/>
  <c r="M13" i="2" s="1"/>
  <c r="S11" i="2"/>
  <c r="O10" i="2"/>
  <c r="T10" i="2" s="1"/>
  <c r="F29" i="1"/>
  <c r="L29" i="1" s="1"/>
  <c r="O28" i="1"/>
  <c r="K12" i="2"/>
  <c r="Q12" i="2"/>
  <c r="L13" i="2" l="1"/>
  <c r="I14" i="2" s="1"/>
  <c r="M14" i="2" s="1"/>
  <c r="E30" i="1"/>
  <c r="O11" i="2"/>
  <c r="T11" i="2" s="1"/>
  <c r="H29" i="1"/>
  <c r="I29" i="1" s="1"/>
  <c r="S12" i="2"/>
  <c r="J13" i="2" l="1"/>
  <c r="G30" i="1" s="1"/>
  <c r="F30" i="1"/>
  <c r="L30" i="1" s="1"/>
  <c r="N29" i="1"/>
  <c r="M29" i="1" s="1"/>
  <c r="J30" i="1" s="1"/>
  <c r="K30" i="1" s="1"/>
  <c r="E31" i="1"/>
  <c r="L14" i="2"/>
  <c r="Q13" i="2" l="1"/>
  <c r="K13" i="2"/>
  <c r="S13" i="2" s="1"/>
  <c r="J14" i="2"/>
  <c r="G31" i="1" s="1"/>
  <c r="O29" i="1"/>
  <c r="I15" i="2"/>
  <c r="F31" i="1"/>
  <c r="L31" i="1" s="1"/>
  <c r="M15" i="2" l="1"/>
  <c r="H15" i="2"/>
  <c r="H30" i="1"/>
  <c r="I30" i="1" s="1"/>
  <c r="L15" i="2"/>
  <c r="F32" i="1" s="1"/>
  <c r="O12" i="2"/>
  <c r="T12" i="2" s="1"/>
  <c r="E32" i="1"/>
  <c r="K14" i="2"/>
  <c r="Q14" i="2"/>
  <c r="N30" i="1" l="1"/>
  <c r="M30" i="1" s="1"/>
  <c r="J31" i="1" s="1"/>
  <c r="K31" i="1" s="1"/>
  <c r="I16" i="2"/>
  <c r="M16" i="2" s="1"/>
  <c r="J15" i="2"/>
  <c r="G32" i="1" s="1"/>
  <c r="H31" i="1"/>
  <c r="I31" i="1" s="1"/>
  <c r="N31" i="1" s="1"/>
  <c r="M31" i="1" s="1"/>
  <c r="S14" i="2"/>
  <c r="L32" i="1"/>
  <c r="O30" i="1" l="1"/>
  <c r="O13" i="2" s="1"/>
  <c r="T13" i="2" s="1"/>
  <c r="L16" i="2"/>
  <c r="F33" i="1" s="1"/>
  <c r="L33" i="1" s="1"/>
  <c r="Q15" i="2"/>
  <c r="E33" i="1"/>
  <c r="K15" i="2"/>
  <c r="H32" i="1" s="1"/>
  <c r="I32" i="1" s="1"/>
  <c r="N32" i="1" s="1"/>
  <c r="M32" i="1" s="1"/>
  <c r="J32" i="1"/>
  <c r="K32" i="1" s="1"/>
  <c r="O31" i="1"/>
  <c r="J16" i="2" l="1"/>
  <c r="G33" i="1" s="1"/>
  <c r="S15" i="2"/>
  <c r="I17" i="2"/>
  <c r="H17" i="2" s="1"/>
  <c r="J33" i="1"/>
  <c r="K33" i="1" s="1"/>
  <c r="O14" i="2"/>
  <c r="T14" i="2" s="1"/>
  <c r="O32" i="1"/>
  <c r="M17" i="2" l="1"/>
  <c r="K16" i="2"/>
  <c r="H33" i="1" s="1"/>
  <c r="I33" i="1" s="1"/>
  <c r="Q16" i="2"/>
  <c r="E34" i="1"/>
  <c r="L17" i="2"/>
  <c r="F34" i="1" s="1"/>
  <c r="L34" i="1" s="1"/>
  <c r="O15" i="2"/>
  <c r="T15" i="2" s="1"/>
  <c r="N33" i="1" l="1"/>
  <c r="M33" i="1" s="1"/>
  <c r="O33" i="1" s="1"/>
  <c r="S16" i="2"/>
  <c r="I18" i="2"/>
  <c r="M18" i="2" s="1"/>
  <c r="J17" i="2"/>
  <c r="Q17" i="2" s="1"/>
  <c r="J34" i="1" l="1"/>
  <c r="K34" i="1" s="1"/>
  <c r="E35" i="1"/>
  <c r="L18" i="2"/>
  <c r="F35" i="1" s="1"/>
  <c r="L35" i="1" s="1"/>
  <c r="K17" i="2"/>
  <c r="H34" i="1" s="1"/>
  <c r="G34" i="1"/>
  <c r="O16" i="2"/>
  <c r="T16" i="2" s="1"/>
  <c r="S17" i="2" l="1"/>
  <c r="I34" i="1"/>
  <c r="N34" i="1" s="1"/>
  <c r="M34" i="1" s="1"/>
  <c r="J35" i="1" s="1"/>
  <c r="K35" i="1" s="1"/>
  <c r="I19" i="2"/>
  <c r="J18" i="2"/>
  <c r="K18" i="2" s="1"/>
  <c r="H35" i="1" s="1"/>
  <c r="L19" i="2" l="1"/>
  <c r="F36" i="1" s="1"/>
  <c r="L36" i="1" s="1"/>
  <c r="M19" i="2"/>
  <c r="O34" i="1"/>
  <c r="G35" i="1"/>
  <c r="I35" i="1" s="1"/>
  <c r="N35" i="1" s="1"/>
  <c r="M35" i="1" s="1"/>
  <c r="O35" i="1" s="1"/>
  <c r="E36" i="1"/>
  <c r="Q18" i="2"/>
  <c r="I20" i="2" l="1"/>
  <c r="M20" i="2" s="1"/>
  <c r="J19" i="2"/>
  <c r="K19" i="2" s="1"/>
  <c r="H36" i="1" s="1"/>
  <c r="O17" i="2"/>
  <c r="T17" i="2" s="1"/>
  <c r="J36" i="1"/>
  <c r="K36" i="1" s="1"/>
  <c r="O18" i="2"/>
  <c r="L20" i="2" l="1"/>
  <c r="F37" i="1" s="1"/>
  <c r="E37" i="1"/>
  <c r="G36" i="1"/>
  <c r="I36" i="1" s="1"/>
  <c r="N36" i="1" s="1"/>
  <c r="M36" i="1" s="1"/>
  <c r="O36" i="1" s="1"/>
  <c r="Q19" i="2"/>
  <c r="J20" i="2" l="1"/>
  <c r="G37" i="1" s="1"/>
  <c r="I21" i="2"/>
  <c r="M21" i="2" s="1"/>
  <c r="J37" i="1"/>
  <c r="K37" i="1" s="1"/>
  <c r="L37" i="1"/>
  <c r="O19" i="2"/>
  <c r="Q20" i="2" l="1"/>
  <c r="K20" i="2"/>
  <c r="H37" i="1" s="1"/>
  <c r="I37" i="1" s="1"/>
  <c r="E38" i="1"/>
  <c r="L21" i="2"/>
  <c r="F38" i="1" s="1"/>
  <c r="J21" i="2" l="1"/>
  <c r="G38" i="1" s="1"/>
  <c r="I22" i="2"/>
  <c r="M22" i="2" s="1"/>
  <c r="N37" i="1"/>
  <c r="M37" i="1" s="1"/>
  <c r="O37" i="1" s="1"/>
  <c r="O20" i="2" s="1"/>
  <c r="L38" i="1"/>
  <c r="L22" i="2" l="1"/>
  <c r="F39" i="1" s="1"/>
  <c r="L39" i="1" s="1"/>
  <c r="E39" i="1"/>
  <c r="K21" i="2"/>
  <c r="H38" i="1" s="1"/>
  <c r="I38" i="1" s="1"/>
  <c r="Q21" i="2"/>
  <c r="J38" i="1"/>
  <c r="K38" i="1" s="1"/>
  <c r="N38" i="1"/>
  <c r="M38" i="1" s="1"/>
  <c r="J39" i="1" s="1"/>
  <c r="K39" i="1" s="1"/>
  <c r="I23" i="2" l="1"/>
  <c r="M23" i="2" s="1"/>
  <c r="J22" i="2"/>
  <c r="Q22" i="2" s="1"/>
  <c r="O38" i="1"/>
  <c r="E40" i="1" l="1"/>
  <c r="K22" i="2"/>
  <c r="H39" i="1" s="1"/>
  <c r="I39" i="1" s="1"/>
  <c r="N39" i="1" s="1"/>
  <c r="M39" i="1" s="1"/>
  <c r="J40" i="1" s="1"/>
  <c r="K40" i="1" s="1"/>
  <c r="L23" i="2"/>
  <c r="G39" i="1"/>
  <c r="O21" i="2"/>
  <c r="J23" i="2"/>
  <c r="G40" i="1" s="1"/>
  <c r="F40" i="1"/>
  <c r="I24" i="2"/>
  <c r="M24" i="2" s="1"/>
  <c r="O39" i="1" l="1"/>
  <c r="Q23" i="2"/>
  <c r="E41" i="1"/>
  <c r="L24" i="2"/>
  <c r="F41" i="1" s="1"/>
  <c r="L41" i="1" s="1"/>
  <c r="L40" i="1"/>
  <c r="K23" i="2"/>
  <c r="H40" i="1" s="1"/>
  <c r="I40" i="1" s="1"/>
  <c r="O22" i="2" l="1"/>
  <c r="N40" i="1"/>
  <c r="M40" i="1" s="1"/>
  <c r="J41" i="1" s="1"/>
  <c r="K41" i="1" s="1"/>
  <c r="J24" i="2"/>
  <c r="I25" i="2"/>
  <c r="M25" i="2" s="1"/>
  <c r="O40" i="1" l="1"/>
  <c r="G41" i="1"/>
  <c r="Q24" i="2"/>
  <c r="K24" i="2"/>
  <c r="H41" i="1" s="1"/>
  <c r="L25" i="2"/>
  <c r="F42" i="1" s="1"/>
  <c r="L42" i="1" s="1"/>
  <c r="E42" i="1"/>
  <c r="O23" i="2" l="1"/>
  <c r="I41" i="1"/>
  <c r="N41" i="1" s="1"/>
  <c r="M41" i="1" s="1"/>
  <c r="J25" i="2"/>
  <c r="Q25" i="2" s="1"/>
  <c r="I26" i="2"/>
  <c r="M26" i="2" s="1"/>
  <c r="E43" i="1" l="1"/>
  <c r="L26" i="2"/>
  <c r="F43" i="1" s="1"/>
  <c r="L43" i="1" s="1"/>
  <c r="K25" i="2"/>
  <c r="H42" i="1" s="1"/>
  <c r="G42" i="1"/>
  <c r="O41" i="1"/>
  <c r="J42" i="1"/>
  <c r="K42" i="1" s="1"/>
  <c r="O24" i="2" l="1"/>
  <c r="J26" i="2"/>
  <c r="Q26" i="2" s="1"/>
  <c r="I27" i="2"/>
  <c r="M27" i="2" s="1"/>
  <c r="I42" i="1"/>
  <c r="N42" i="1" s="1"/>
  <c r="M42" i="1" s="1"/>
  <c r="J43" i="1" s="1"/>
  <c r="K43" i="1" s="1"/>
  <c r="G43" i="1" l="1"/>
  <c r="K26" i="2"/>
  <c r="H43" i="1" s="1"/>
  <c r="L27" i="2"/>
  <c r="E44" i="1"/>
  <c r="O42" i="1"/>
  <c r="J27" i="2" l="1"/>
  <c r="G44" i="1" s="1"/>
  <c r="O25" i="2"/>
  <c r="F44" i="1"/>
  <c r="L44" i="1" s="1"/>
  <c r="I28" i="2"/>
  <c r="M28" i="2" s="1"/>
  <c r="I43" i="1"/>
  <c r="N43" i="1" s="1"/>
  <c r="M43" i="1" s="1"/>
  <c r="K27" i="2" l="1"/>
  <c r="H44" i="1" s="1"/>
  <c r="I44" i="1" s="1"/>
  <c r="N44" i="1" s="1"/>
  <c r="M44" i="1" s="1"/>
  <c r="Q27" i="2"/>
  <c r="E45" i="1"/>
  <c r="L28" i="2"/>
  <c r="J44" i="1"/>
  <c r="K44" i="1" s="1"/>
  <c r="O43" i="1"/>
  <c r="I29" i="2" l="1"/>
  <c r="J45" i="1"/>
  <c r="K45" i="1" s="1"/>
  <c r="O26" i="2"/>
  <c r="F45" i="1"/>
  <c r="O44" i="1"/>
  <c r="J28" i="2"/>
  <c r="G45" i="1" s="1"/>
  <c r="H29" i="2" l="1"/>
  <c r="M29" i="2"/>
  <c r="L29" i="2"/>
  <c r="F46" i="1" s="1"/>
  <c r="L46" i="1" s="1"/>
  <c r="E46" i="1"/>
  <c r="K28" i="2"/>
  <c r="H45" i="1" s="1"/>
  <c r="I45" i="1" s="1"/>
  <c r="Q28" i="2"/>
  <c r="L45" i="1"/>
  <c r="O27" i="2"/>
  <c r="J29" i="2" l="1"/>
  <c r="G46" i="1" s="1"/>
  <c r="I30" i="2"/>
  <c r="N45" i="1"/>
  <c r="M45" i="1" s="1"/>
  <c r="J46" i="1" s="1"/>
  <c r="K46" i="1" s="1"/>
  <c r="K29" i="2" l="1"/>
  <c r="H46" i="1" s="1"/>
  <c r="I46" i="1" s="1"/>
  <c r="N46" i="1" s="1"/>
  <c r="M46" i="1" s="1"/>
  <c r="O46" i="1" s="1"/>
  <c r="Q29" i="2"/>
  <c r="L30" i="2"/>
  <c r="E47" i="1"/>
  <c r="M30" i="2"/>
  <c r="O45" i="1"/>
  <c r="J30" i="2" l="1"/>
  <c r="G47" i="1" s="1"/>
  <c r="I31" i="2"/>
  <c r="F47" i="1"/>
  <c r="L47" i="1" s="1"/>
  <c r="O28" i="2"/>
  <c r="O29" i="2"/>
  <c r="J47" i="1"/>
  <c r="K47" i="1" s="1"/>
  <c r="K30" i="2" l="1"/>
  <c r="H47" i="1" s="1"/>
  <c r="I47" i="1" s="1"/>
  <c r="N47" i="1" s="1"/>
  <c r="M47" i="1" s="1"/>
  <c r="O47" i="1" s="1"/>
  <c r="L31" i="2"/>
  <c r="E48" i="1"/>
  <c r="M31" i="2"/>
  <c r="Q30" i="2"/>
  <c r="J48" i="1" l="1"/>
  <c r="K48" i="1" s="1"/>
  <c r="J31" i="2"/>
  <c r="Q31" i="2" s="1"/>
  <c r="I32" i="2"/>
  <c r="L32" i="2" s="1"/>
  <c r="F49" i="1" s="1"/>
  <c r="L49" i="1" s="1"/>
  <c r="O30" i="2"/>
  <c r="F48" i="1"/>
  <c r="E49" i="1" l="1"/>
  <c r="M32" i="2"/>
  <c r="J32" i="2" s="1"/>
  <c r="G49" i="1" s="1"/>
  <c r="K31" i="2"/>
  <c r="H48" i="1" s="1"/>
  <c r="G48" i="1"/>
  <c r="L48" i="1"/>
  <c r="I33" i="2" l="1"/>
  <c r="M33" i="2" s="1"/>
  <c r="I48" i="1"/>
  <c r="N48" i="1" s="1"/>
  <c r="M48" i="1" s="1"/>
  <c r="J49" i="1" s="1"/>
  <c r="K49" i="1" s="1"/>
  <c r="K32" i="2"/>
  <c r="H49" i="1" s="1"/>
  <c r="Q32" i="2"/>
  <c r="E50" i="1" l="1"/>
  <c r="L33" i="2"/>
  <c r="F50" i="1" s="1"/>
  <c r="L50" i="1" s="1"/>
  <c r="O48" i="1"/>
  <c r="I49" i="1"/>
  <c r="N49" i="1" s="1"/>
  <c r="M49" i="1" s="1"/>
  <c r="O49" i="1" s="1"/>
  <c r="J33" i="2" l="1"/>
  <c r="G50" i="1" s="1"/>
  <c r="I34" i="2"/>
  <c r="M34" i="2" s="1"/>
  <c r="O31" i="2"/>
  <c r="O32" i="2"/>
  <c r="J50" i="1"/>
  <c r="K50" i="1" s="1"/>
  <c r="Q33" i="2" l="1"/>
  <c r="E51" i="1"/>
  <c r="K33" i="2"/>
  <c r="H50" i="1" s="1"/>
  <c r="I50" i="1" s="1"/>
  <c r="N50" i="1" s="1"/>
  <c r="M50" i="1" s="1"/>
  <c r="L34" i="2"/>
  <c r="F51" i="1" s="1"/>
  <c r="L51" i="1" s="1"/>
  <c r="J34" i="2" l="1"/>
  <c r="G51" i="1" s="1"/>
  <c r="I35" i="2"/>
  <c r="J51" i="1"/>
  <c r="K51" i="1" s="1"/>
  <c r="O50" i="1"/>
  <c r="L35" i="2" l="1"/>
  <c r="F52" i="1" s="1"/>
  <c r="L52" i="1" s="1"/>
  <c r="H35" i="2"/>
  <c r="Q34" i="2"/>
  <c r="K34" i="2"/>
  <c r="H51" i="1" s="1"/>
  <c r="M35" i="2"/>
  <c r="E52" i="1"/>
  <c r="I51" i="1"/>
  <c r="N51" i="1" s="1"/>
  <c r="M51" i="1" s="1"/>
  <c r="O33" i="2"/>
  <c r="I36" i="2" l="1"/>
  <c r="E53" i="1" s="1"/>
  <c r="J35" i="2"/>
  <c r="G52" i="1" s="1"/>
  <c r="J52" i="1"/>
  <c r="O51" i="1"/>
  <c r="M36" i="2" l="1"/>
  <c r="I37" i="2" s="1"/>
  <c r="L36" i="2"/>
  <c r="F53" i="1" s="1"/>
  <c r="L53" i="1" s="1"/>
  <c r="Q35" i="2"/>
  <c r="K35" i="2"/>
  <c r="H52" i="1" s="1"/>
  <c r="I52" i="1" s="1"/>
  <c r="N52" i="1" s="1"/>
  <c r="M52" i="1" s="1"/>
  <c r="J53" i="1" s="1"/>
  <c r="K53" i="1" s="1"/>
  <c r="O34" i="2"/>
  <c r="K52" i="1"/>
  <c r="J36" i="2" l="1"/>
  <c r="G53" i="1" s="1"/>
  <c r="O52" i="1"/>
  <c r="O35" i="2" s="1"/>
  <c r="M37" i="2"/>
  <c r="L37" i="2"/>
  <c r="E54" i="1"/>
  <c r="K36" i="2" l="1"/>
  <c r="H53" i="1" s="1"/>
  <c r="I53" i="1" s="1"/>
  <c r="N53" i="1" s="1"/>
  <c r="M53" i="1" s="1"/>
  <c r="Q36" i="2"/>
  <c r="I38" i="2"/>
  <c r="M38" i="2" s="1"/>
  <c r="F54" i="1"/>
  <c r="L54" i="1" s="1"/>
  <c r="J37" i="2"/>
  <c r="G54" i="1" s="1"/>
  <c r="E55" i="1" l="1"/>
  <c r="L38" i="2"/>
  <c r="I39" i="2" s="1"/>
  <c r="Q37" i="2"/>
  <c r="J54" i="1"/>
  <c r="K54" i="1" s="1"/>
  <c r="O53" i="1"/>
  <c r="K37" i="2"/>
  <c r="H54" i="1" s="1"/>
  <c r="J38" i="2" l="1"/>
  <c r="G55" i="1" s="1"/>
  <c r="F55" i="1"/>
  <c r="L55" i="1" s="1"/>
  <c r="L39" i="2"/>
  <c r="M39" i="2"/>
  <c r="E56" i="1"/>
  <c r="I54" i="1"/>
  <c r="N54" i="1" s="1"/>
  <c r="M54" i="1" s="1"/>
  <c r="J55" i="1" s="1"/>
  <c r="K55" i="1" s="1"/>
  <c r="O36" i="2"/>
  <c r="Q38" i="2" l="1"/>
  <c r="K38" i="2"/>
  <c r="H55" i="1" s="1"/>
  <c r="I55" i="1" s="1"/>
  <c r="N55" i="1" s="1"/>
  <c r="M55" i="1" s="1"/>
  <c r="O55" i="1" s="1"/>
  <c r="I40" i="2"/>
  <c r="M40" i="2" s="1"/>
  <c r="J39" i="2"/>
  <c r="G56" i="1" s="1"/>
  <c r="O54" i="1"/>
  <c r="F56" i="1"/>
  <c r="L56" i="1" s="1"/>
  <c r="J56" i="1" l="1"/>
  <c r="K56" i="1" s="1"/>
  <c r="E57" i="1"/>
  <c r="L40" i="2"/>
  <c r="I41" i="2" s="1"/>
  <c r="O38" i="2"/>
  <c r="Q39" i="2"/>
  <c r="K39" i="2"/>
  <c r="H56" i="1" s="1"/>
  <c r="O37" i="2"/>
  <c r="F57" i="1" l="1"/>
  <c r="L57" i="1" s="1"/>
  <c r="J40" i="2"/>
  <c r="K40" i="2" s="1"/>
  <c r="H57" i="1" s="1"/>
  <c r="M41" i="2"/>
  <c r="L41" i="2"/>
  <c r="F58" i="1" s="1"/>
  <c r="L58" i="1" s="1"/>
  <c r="E58" i="1"/>
  <c r="H41" i="2"/>
  <c r="I56" i="1"/>
  <c r="N56" i="1" s="1"/>
  <c r="M56" i="1" s="1"/>
  <c r="Q40" i="2" l="1"/>
  <c r="G57" i="1"/>
  <c r="I57" i="1" s="1"/>
  <c r="N57" i="1" s="1"/>
  <c r="M57" i="1" s="1"/>
  <c r="I42" i="2"/>
  <c r="M42" i="2" s="1"/>
  <c r="J41" i="2"/>
  <c r="K41" i="2" s="1"/>
  <c r="H58" i="1" s="1"/>
  <c r="J57" i="1"/>
  <c r="K57" i="1" s="1"/>
  <c r="O56" i="1"/>
  <c r="O57" i="1" l="1"/>
  <c r="L42" i="2"/>
  <c r="F59" i="1" s="1"/>
  <c r="L59" i="1" s="1"/>
  <c r="E59" i="1"/>
  <c r="G58" i="1"/>
  <c r="I58" i="1" s="1"/>
  <c r="N58" i="1" s="1"/>
  <c r="M58" i="1" s="1"/>
  <c r="Q41" i="2"/>
  <c r="O39" i="2"/>
  <c r="J58" i="1"/>
  <c r="O40" i="2" l="1"/>
  <c r="J42" i="2"/>
  <c r="G59" i="1" s="1"/>
  <c r="I43" i="2"/>
  <c r="E60" i="1" s="1"/>
  <c r="K58" i="1"/>
  <c r="O58" i="1" s="1"/>
  <c r="J59" i="1"/>
  <c r="K42" i="2" l="1"/>
  <c r="H59" i="1" s="1"/>
  <c r="I59" i="1" s="1"/>
  <c r="N59" i="1" s="1"/>
  <c r="M59" i="1" s="1"/>
  <c r="J60" i="1" s="1"/>
  <c r="Q42" i="2"/>
  <c r="L43" i="2"/>
  <c r="F60" i="1" s="1"/>
  <c r="L60" i="1" s="1"/>
  <c r="M43" i="2"/>
  <c r="K59" i="1"/>
  <c r="O41" i="2"/>
  <c r="O59" i="1" l="1"/>
  <c r="O42" i="2" s="1"/>
  <c r="I44" i="2"/>
  <c r="M44" i="2" s="1"/>
  <c r="J43" i="2"/>
  <c r="G60" i="1" s="1"/>
  <c r="K60" i="1"/>
  <c r="E61" i="1" l="1"/>
  <c r="H44" i="2"/>
  <c r="Q43" i="2"/>
  <c r="K43" i="2"/>
  <c r="H60" i="1" s="1"/>
  <c r="I60" i="1" s="1"/>
  <c r="N60" i="1" s="1"/>
  <c r="M60" i="1" s="1"/>
  <c r="J61" i="1" s="1"/>
  <c r="K61" i="1" s="1"/>
  <c r="L44" i="2"/>
  <c r="F61" i="1" s="1"/>
  <c r="L61" i="1" s="1"/>
  <c r="I45" i="2" l="1"/>
  <c r="M45" i="2" s="1"/>
  <c r="J44" i="2"/>
  <c r="K44" i="2" s="1"/>
  <c r="H61" i="1" s="1"/>
  <c r="O60" i="1"/>
  <c r="E62" i="1" l="1"/>
  <c r="Q44" i="2"/>
  <c r="G61" i="1"/>
  <c r="I61" i="1" s="1"/>
  <c r="N61" i="1" s="1"/>
  <c r="M61" i="1" s="1"/>
  <c r="L45" i="2"/>
  <c r="F62" i="1" s="1"/>
  <c r="O43" i="2"/>
  <c r="J45" i="2" l="1"/>
  <c r="G62" i="1" s="1"/>
  <c r="I46" i="2"/>
  <c r="E63" i="1" s="1"/>
  <c r="L62" i="1"/>
  <c r="J62" i="1"/>
  <c r="O61" i="1"/>
  <c r="Q45" i="2" l="1"/>
  <c r="K45" i="2"/>
  <c r="H62" i="1" s="1"/>
  <c r="I62" i="1" s="1"/>
  <c r="M46" i="2"/>
  <c r="L46" i="2"/>
  <c r="F63" i="1" s="1"/>
  <c r="O44" i="2"/>
  <c r="K62" i="1"/>
  <c r="N62" i="1" l="1"/>
  <c r="M62" i="1" s="1"/>
  <c r="J63" i="1" s="1"/>
  <c r="K63" i="1" s="1"/>
  <c r="I47" i="2"/>
  <c r="H47" i="2" s="1"/>
  <c r="J46" i="2"/>
  <c r="G63" i="1" s="1"/>
  <c r="L63" i="1"/>
  <c r="O62" i="1" l="1"/>
  <c r="O45" i="2" s="1"/>
  <c r="M47" i="2"/>
  <c r="I48" i="2" s="1"/>
  <c r="E64" i="1"/>
  <c r="L47" i="2"/>
  <c r="Q46" i="2"/>
  <c r="K46" i="2"/>
  <c r="H63" i="1" s="1"/>
  <c r="I63" i="1" s="1"/>
  <c r="N63" i="1"/>
  <c r="M63" i="1" s="1"/>
  <c r="J64" i="1" s="1"/>
  <c r="J47" i="2" l="1"/>
  <c r="K47" i="2" s="1"/>
  <c r="H64" i="1" s="1"/>
  <c r="F64" i="1"/>
  <c r="L64" i="1" s="1"/>
  <c r="L48" i="2"/>
  <c r="E65" i="1"/>
  <c r="M48" i="2"/>
  <c r="K64" i="1"/>
  <c r="O63" i="1"/>
  <c r="Q47" i="2" l="1"/>
  <c r="G64" i="1"/>
  <c r="I64" i="1" s="1"/>
  <c r="N64" i="1" s="1"/>
  <c r="M64" i="1" s="1"/>
  <c r="J65" i="1" s="1"/>
  <c r="K65" i="1" s="1"/>
  <c r="I49" i="2"/>
  <c r="L49" i="2" s="1"/>
  <c r="O46" i="2"/>
  <c r="J48" i="2"/>
  <c r="G65" i="1" s="1"/>
  <c r="F65" i="1"/>
  <c r="L65" i="1" s="1"/>
  <c r="E66" i="1" l="1"/>
  <c r="M49" i="2"/>
  <c r="I50" i="2" s="1"/>
  <c r="L50" i="2" s="1"/>
  <c r="F67" i="1" s="1"/>
  <c r="L67" i="1" s="1"/>
  <c r="O64" i="1"/>
  <c r="K48" i="2"/>
  <c r="H65" i="1" s="1"/>
  <c r="I65" i="1" s="1"/>
  <c r="N65" i="1" s="1"/>
  <c r="M65" i="1" s="1"/>
  <c r="J66" i="1" s="1"/>
  <c r="K66" i="1" s="1"/>
  <c r="Q48" i="2"/>
  <c r="F66" i="1"/>
  <c r="J49" i="2" l="1"/>
  <c r="G66" i="1" s="1"/>
  <c r="O47" i="2"/>
  <c r="E67" i="1"/>
  <c r="O65" i="1"/>
  <c r="M50" i="2"/>
  <c r="J50" i="2" s="1"/>
  <c r="G67" i="1" s="1"/>
  <c r="L66" i="1"/>
  <c r="K49" i="2" l="1"/>
  <c r="H66" i="1" s="1"/>
  <c r="I66" i="1" s="1"/>
  <c r="Q49" i="2"/>
  <c r="I51" i="2"/>
  <c r="M51" i="2" s="1"/>
  <c r="O48" i="2"/>
  <c r="Q50" i="2"/>
  <c r="K50" i="2"/>
  <c r="H67" i="1" s="1"/>
  <c r="I67" i="1" s="1"/>
  <c r="N67" i="1" s="1"/>
  <c r="M67" i="1" s="1"/>
  <c r="E68" i="1"/>
  <c r="N66" i="1" l="1"/>
  <c r="M66" i="1" s="1"/>
  <c r="J67" i="1" s="1"/>
  <c r="K67" i="1" s="1"/>
  <c r="O67" i="1" s="1"/>
  <c r="O50" i="2" s="1"/>
  <c r="L51" i="2"/>
  <c r="F68" i="1" s="1"/>
  <c r="L68" i="1" s="1"/>
  <c r="J51" i="2" l="1"/>
  <c r="G68" i="1" s="1"/>
  <c r="J68" i="1"/>
  <c r="K68" i="1" s="1"/>
  <c r="O66" i="1"/>
  <c r="O49" i="2" s="1"/>
  <c r="I52" i="2"/>
  <c r="E69" i="1"/>
  <c r="M52" i="2"/>
  <c r="L52" i="2"/>
  <c r="F69" i="1" s="1"/>
  <c r="L69" i="1" s="1"/>
  <c r="H53" i="2"/>
  <c r="K51" i="2" l="1"/>
  <c r="H68" i="1" s="1"/>
  <c r="I68" i="1" s="1"/>
  <c r="N68" i="1" s="1"/>
  <c r="M68" i="1" s="1"/>
  <c r="Q51" i="2"/>
  <c r="J52" i="2"/>
  <c r="I53" i="2"/>
  <c r="J69" i="1" l="1"/>
  <c r="K69" i="1" s="1"/>
  <c r="O68" i="1"/>
  <c r="E70" i="1"/>
  <c r="L53" i="2"/>
  <c r="F70" i="1" s="1"/>
  <c r="L70" i="1" s="1"/>
  <c r="M53" i="2"/>
  <c r="K52" i="2"/>
  <c r="H69" i="1" s="1"/>
  <c r="G69" i="1"/>
  <c r="Q52" i="2"/>
  <c r="I69" i="1" l="1"/>
  <c r="N69" i="1" s="1"/>
  <c r="M69" i="1" s="1"/>
  <c r="O51" i="2"/>
  <c r="J53" i="2"/>
  <c r="I54" i="2"/>
  <c r="E71" i="1" l="1"/>
  <c r="L54" i="2"/>
  <c r="F71" i="1" s="1"/>
  <c r="L71" i="1" s="1"/>
  <c r="M54" i="2"/>
  <c r="J70" i="1"/>
  <c r="K70" i="1" s="1"/>
  <c r="O69" i="1"/>
  <c r="G70" i="1"/>
  <c r="K53" i="2"/>
  <c r="H70" i="1" s="1"/>
  <c r="Q53" i="2"/>
  <c r="J54" i="2" l="1"/>
  <c r="G71" i="1" s="1"/>
  <c r="I70" i="1"/>
  <c r="N70" i="1" s="1"/>
  <c r="M70" i="1" s="1"/>
  <c r="O70" i="1" s="1"/>
  <c r="I55" i="2"/>
  <c r="H55" i="2" s="1"/>
  <c r="O52" i="2"/>
  <c r="K54" i="2" l="1"/>
  <c r="H71" i="1" s="1"/>
  <c r="I71" i="1" s="1"/>
  <c r="N71" i="1" s="1"/>
  <c r="M71" i="1" s="1"/>
  <c r="Q54" i="2"/>
  <c r="J71" i="1"/>
  <c r="K71" i="1" s="1"/>
  <c r="O53" i="2"/>
  <c r="O21" i="1"/>
  <c r="L55" i="2"/>
  <c r="F72" i="1" s="1"/>
  <c r="L72" i="1" s="1"/>
  <c r="E72" i="1"/>
  <c r="M55" i="2"/>
  <c r="O71" i="1" l="1"/>
  <c r="O54" i="2" s="1"/>
  <c r="J72" i="1"/>
  <c r="K72" i="1" s="1"/>
  <c r="J55" i="2"/>
  <c r="I56" i="2"/>
  <c r="E73" i="1" l="1"/>
  <c r="M56" i="2"/>
  <c r="L56" i="2"/>
  <c r="F73" i="1" s="1"/>
  <c r="L73" i="1" s="1"/>
  <c r="G72" i="1"/>
  <c r="K55" i="2"/>
  <c r="H72" i="1" s="1"/>
  <c r="Q55" i="2"/>
  <c r="I72" i="1" l="1"/>
  <c r="N72" i="1" s="1"/>
  <c r="M72" i="1" s="1"/>
  <c r="O72" i="1" s="1"/>
  <c r="I57" i="2"/>
  <c r="J56" i="2"/>
  <c r="O55" i="2" l="1"/>
  <c r="J73" i="1"/>
  <c r="K73" i="1" s="1"/>
  <c r="Q56" i="2"/>
  <c r="G73" i="1"/>
  <c r="L57" i="2"/>
  <c r="E74" i="1"/>
  <c r="M57" i="2"/>
  <c r="K56" i="2"/>
  <c r="H73" i="1" s="1"/>
  <c r="I58" i="2" l="1"/>
  <c r="E75" i="1" s="1"/>
  <c r="F74" i="1"/>
  <c r="L74" i="1" s="1"/>
  <c r="J57" i="2"/>
  <c r="G74" i="1" s="1"/>
  <c r="I73" i="1"/>
  <c r="N73" i="1" s="1"/>
  <c r="M73" i="1" s="1"/>
  <c r="L58" i="2" l="1"/>
  <c r="F75" i="1" s="1"/>
  <c r="L75" i="1" s="1"/>
  <c r="M58" i="2"/>
  <c r="Q57" i="2"/>
  <c r="K57" i="2"/>
  <c r="H74" i="1" s="1"/>
  <c r="O73" i="1"/>
  <c r="J74" i="1"/>
  <c r="J58" i="2" l="1"/>
  <c r="G75" i="1" s="1"/>
  <c r="I59" i="2"/>
  <c r="E76" i="1" s="1"/>
  <c r="O56" i="2"/>
  <c r="K74" i="1"/>
  <c r="I74" i="1"/>
  <c r="N74" i="1" s="1"/>
  <c r="M74" i="1" s="1"/>
  <c r="J75" i="1" s="1"/>
  <c r="K75" i="1" s="1"/>
  <c r="M59" i="2" l="1"/>
  <c r="Q58" i="2"/>
  <c r="K58" i="2"/>
  <c r="H75" i="1" s="1"/>
  <c r="I75" i="1" s="1"/>
  <c r="L59" i="2"/>
  <c r="F76" i="1" s="1"/>
  <c r="L76" i="1" s="1"/>
  <c r="O74" i="1"/>
  <c r="N75" i="1" l="1"/>
  <c r="M75" i="1" s="1"/>
  <c r="J76" i="1" s="1"/>
  <c r="K76" i="1" s="1"/>
  <c r="J59" i="2"/>
  <c r="Q59" i="2" s="1"/>
  <c r="I60" i="2"/>
  <c r="L60" i="2" s="1"/>
  <c r="F77" i="1" s="1"/>
  <c r="L77" i="1" s="1"/>
  <c r="O57" i="2"/>
  <c r="O75" i="1" l="1"/>
  <c r="O58" i="2" s="1"/>
  <c r="G76" i="1"/>
  <c r="K59" i="2"/>
  <c r="H76" i="1" s="1"/>
  <c r="M60" i="2"/>
  <c r="E77" i="1"/>
  <c r="I76" i="1" l="1"/>
  <c r="N76" i="1" s="1"/>
  <c r="M76" i="1" s="1"/>
  <c r="O76" i="1" s="1"/>
  <c r="J60" i="2"/>
  <c r="Q60" i="2" s="1"/>
  <c r="I61" i="2"/>
  <c r="J77" i="1" l="1"/>
  <c r="K77" i="1" s="1"/>
  <c r="M61" i="2"/>
  <c r="L61" i="2"/>
  <c r="F78" i="1" s="1"/>
  <c r="L78" i="1" s="1"/>
  <c r="E78" i="1"/>
  <c r="G77" i="1"/>
  <c r="K60" i="2"/>
  <c r="H77" i="1" s="1"/>
  <c r="O59" i="2"/>
  <c r="I77" i="1" l="1"/>
  <c r="N77" i="1" s="1"/>
  <c r="M77" i="1" s="1"/>
  <c r="I62" i="2"/>
  <c r="J61" i="2"/>
  <c r="K61" i="2" l="1"/>
  <c r="H78" i="1" s="1"/>
  <c r="Q61" i="2"/>
  <c r="G78" i="1"/>
  <c r="M62" i="2"/>
  <c r="E79" i="1"/>
  <c r="L62" i="2"/>
  <c r="F79" i="1" s="1"/>
  <c r="L79" i="1" s="1"/>
  <c r="J78" i="1"/>
  <c r="K78" i="1" s="1"/>
  <c r="O77" i="1"/>
  <c r="J62" i="2" l="1"/>
  <c r="G79" i="1" s="1"/>
  <c r="O60" i="2"/>
  <c r="I78" i="1"/>
  <c r="N78" i="1" s="1"/>
  <c r="M78" i="1" s="1"/>
  <c r="J79" i="1" s="1"/>
  <c r="K79" i="1" s="1"/>
  <c r="I63" i="2"/>
  <c r="Q62" i="2" l="1"/>
  <c r="K62" i="2"/>
  <c r="H79" i="1" s="1"/>
  <c r="I79" i="1" s="1"/>
  <c r="N79" i="1" s="1"/>
  <c r="M79" i="1" s="1"/>
  <c r="J80" i="1" s="1"/>
  <c r="K80" i="1" s="1"/>
  <c r="L63" i="2"/>
  <c r="F80" i="1" s="1"/>
  <c r="L80" i="1" s="1"/>
  <c r="E80" i="1"/>
  <c r="M63" i="2"/>
  <c r="O78" i="1"/>
  <c r="O79" i="1" l="1"/>
  <c r="O62" i="2" s="1"/>
  <c r="O61" i="2"/>
  <c r="J63" i="2"/>
  <c r="Q63" i="2" s="1"/>
  <c r="I64" i="2"/>
  <c r="M64" i="2" l="1"/>
  <c r="E81" i="1"/>
  <c r="L64" i="2"/>
  <c r="F81" i="1" s="1"/>
  <c r="L81" i="1" s="1"/>
  <c r="G80" i="1"/>
  <c r="K63" i="2"/>
  <c r="H80" i="1" s="1"/>
  <c r="J64" i="2" l="1"/>
  <c r="I80" i="1"/>
  <c r="N80" i="1" s="1"/>
  <c r="M80" i="1" s="1"/>
  <c r="I65" i="2"/>
  <c r="G81" i="1" l="1"/>
  <c r="Q64" i="2"/>
  <c r="K64" i="2"/>
  <c r="H81" i="1" s="1"/>
  <c r="M65" i="2"/>
  <c r="E82" i="1"/>
  <c r="H65" i="2"/>
  <c r="L65" i="2"/>
  <c r="F82" i="1" s="1"/>
  <c r="L82" i="1" s="1"/>
  <c r="J81" i="1"/>
  <c r="K81" i="1" s="1"/>
  <c r="O80" i="1"/>
  <c r="I66" i="2" l="1"/>
  <c r="E83" i="1" s="1"/>
  <c r="H66" i="2"/>
  <c r="J65" i="2"/>
  <c r="G82" i="1" s="1"/>
  <c r="I81" i="1"/>
  <c r="N81" i="1" s="1"/>
  <c r="M81" i="1" s="1"/>
  <c r="O81" i="1" s="1"/>
  <c r="O63" i="2"/>
  <c r="M66" i="2" l="1"/>
  <c r="J66" i="2" s="1"/>
  <c r="G83" i="1" s="1"/>
  <c r="L66" i="2"/>
  <c r="F83" i="1" s="1"/>
  <c r="L83" i="1" s="1"/>
  <c r="K65" i="2"/>
  <c r="H82" i="1" s="1"/>
  <c r="I82" i="1" s="1"/>
  <c r="N82" i="1" s="1"/>
  <c r="M82" i="1" s="1"/>
  <c r="Q65" i="2"/>
  <c r="J82" i="1"/>
  <c r="K82" i="1" s="1"/>
  <c r="O64" i="2"/>
  <c r="I67" i="2" l="1"/>
  <c r="L67" i="2" s="1"/>
  <c r="F84" i="1" s="1"/>
  <c r="K66" i="2"/>
  <c r="H83" i="1" s="1"/>
  <c r="I83" i="1" s="1"/>
  <c r="H68" i="2"/>
  <c r="J83" i="1"/>
  <c r="K83" i="1" s="1"/>
  <c r="O82" i="1"/>
  <c r="E84" i="1" l="1"/>
  <c r="M67" i="2"/>
  <c r="N83" i="1"/>
  <c r="M83" i="1" s="1"/>
  <c r="O83" i="1" s="1"/>
  <c r="O66" i="2" s="1"/>
  <c r="L84" i="1"/>
  <c r="O65" i="2"/>
  <c r="J84" i="1" l="1"/>
  <c r="K84" i="1" s="1"/>
  <c r="I68" i="2"/>
  <c r="J67" i="2"/>
  <c r="G84" i="1" l="1"/>
  <c r="K67" i="2"/>
  <c r="H84" i="1" s="1"/>
  <c r="M68" i="2"/>
  <c r="J68" i="2" s="1"/>
  <c r="G85" i="1" s="1"/>
  <c r="L68" i="2"/>
  <c r="E85" i="1"/>
  <c r="I69" i="2"/>
  <c r="I84" i="1" l="1"/>
  <c r="N84" i="1"/>
  <c r="M84" i="1" s="1"/>
  <c r="M69" i="2"/>
  <c r="E86" i="1"/>
  <c r="L69" i="2"/>
  <c r="I70" i="2"/>
  <c r="F85" i="1"/>
  <c r="K68" i="2"/>
  <c r="H85" i="1" s="1"/>
  <c r="O84" i="1" l="1"/>
  <c r="O67" i="2" s="1"/>
  <c r="J85" i="1"/>
  <c r="K85" i="1" s="1"/>
  <c r="L85" i="1"/>
  <c r="I85" i="1"/>
  <c r="J69" i="2"/>
  <c r="G86" i="1" s="1"/>
  <c r="F86" i="1"/>
  <c r="M70" i="2"/>
  <c r="L70" i="2"/>
  <c r="F87" i="1" s="1"/>
  <c r="L87" i="1" s="1"/>
  <c r="E87" i="1"/>
  <c r="I71" i="2" l="1"/>
  <c r="J70" i="2"/>
  <c r="L86" i="1"/>
  <c r="N85" i="1"/>
  <c r="M85" i="1" s="1"/>
  <c r="K69" i="2"/>
  <c r="H86" i="1" s="1"/>
  <c r="O85" i="1" l="1"/>
  <c r="O68" i="2" s="1"/>
  <c r="J86" i="1"/>
  <c r="N86" i="1"/>
  <c r="M86" i="1" s="1"/>
  <c r="I86" i="1"/>
  <c r="E88" i="1"/>
  <c r="M71" i="2"/>
  <c r="J71" i="2" s="1"/>
  <c r="G88" i="1" s="1"/>
  <c r="L71" i="2"/>
  <c r="K70" i="2"/>
  <c r="H87" i="1" s="1"/>
  <c r="G87" i="1"/>
  <c r="I87" i="1" s="1"/>
  <c r="N87" i="1" s="1"/>
  <c r="I72" i="2" l="1"/>
  <c r="K86" i="1"/>
  <c r="O86" i="1" s="1"/>
  <c r="O69" i="2" s="1"/>
  <c r="J87" i="1"/>
  <c r="F88" i="1"/>
  <c r="K71" i="2"/>
  <c r="H88" i="1" s="1"/>
  <c r="M87" i="1"/>
  <c r="L72" i="2" l="1"/>
  <c r="M72" i="2"/>
  <c r="J72" i="2" s="1"/>
  <c r="G89" i="1" s="1"/>
  <c r="E89" i="1"/>
  <c r="L88" i="1"/>
  <c r="N88" i="1" s="1"/>
  <c r="M88" i="1" s="1"/>
  <c r="I88" i="1"/>
  <c r="J88" i="1"/>
  <c r="K87" i="1"/>
  <c r="O87" i="1" s="1"/>
  <c r="O70" i="2" s="1"/>
  <c r="F89" i="1" l="1"/>
  <c r="K72" i="2"/>
  <c r="H89" i="1" s="1"/>
  <c r="J89" i="1"/>
  <c r="K89" i="1" s="1"/>
  <c r="K88" i="1"/>
  <c r="O88" i="1" s="1"/>
  <c r="O71" i="2" s="1"/>
  <c r="I73" i="2"/>
  <c r="L89" i="1" l="1"/>
  <c r="N89" i="1" s="1"/>
  <c r="I89" i="1"/>
  <c r="E90" i="1"/>
  <c r="M73" i="2"/>
  <c r="J73" i="2" s="1"/>
  <c r="L73" i="2"/>
  <c r="F90" i="1" s="1"/>
  <c r="L90" i="1" s="1"/>
  <c r="I74" i="2"/>
  <c r="L74" i="2" l="1"/>
  <c r="I75" i="2" s="1"/>
  <c r="E91" i="1"/>
  <c r="M74" i="2"/>
  <c r="K73" i="2"/>
  <c r="H90" i="1" s="1"/>
  <c r="G90" i="1"/>
  <c r="I90" i="1" s="1"/>
  <c r="M89" i="1"/>
  <c r="L75" i="2" l="1"/>
  <c r="I76" i="2"/>
  <c r="E93" i="1" s="1"/>
  <c r="E92" i="1"/>
  <c r="M75" i="2"/>
  <c r="N90" i="1"/>
  <c r="M90" i="1" s="1"/>
  <c r="J91" i="1" s="1"/>
  <c r="K91" i="1" s="1"/>
  <c r="O89" i="1"/>
  <c r="O72" i="2" s="1"/>
  <c r="J90" i="1"/>
  <c r="K90" i="1" s="1"/>
  <c r="J74" i="2"/>
  <c r="G91" i="1" s="1"/>
  <c r="F91" i="1"/>
  <c r="K74" i="2" l="1"/>
  <c r="H91" i="1" s="1"/>
  <c r="I91" i="1" s="1"/>
  <c r="M76" i="2"/>
  <c r="L76" i="2"/>
  <c r="I77" i="2" s="1"/>
  <c r="O90" i="1"/>
  <c r="O73" i="2" s="1"/>
  <c r="F92" i="1"/>
  <c r="J75" i="2"/>
  <c r="G92" i="1" s="1"/>
  <c r="L91" i="1"/>
  <c r="N91" i="1" l="1"/>
  <c r="M91" i="1" s="1"/>
  <c r="O91" i="1" s="1"/>
  <c r="O74" i="2" s="1"/>
  <c r="L77" i="2"/>
  <c r="I78" i="2" s="1"/>
  <c r="E94" i="1"/>
  <c r="M77" i="2"/>
  <c r="K75" i="2"/>
  <c r="H92" i="1" s="1"/>
  <c r="I92" i="1" s="1"/>
  <c r="J76" i="2"/>
  <c r="G93" i="1" s="1"/>
  <c r="F93" i="1"/>
  <c r="L93" i="1" s="1"/>
  <c r="L92" i="1"/>
  <c r="J92" i="1" l="1"/>
  <c r="K92" i="1" s="1"/>
  <c r="F94" i="1"/>
  <c r="L94" i="1" s="1"/>
  <c r="N92" i="1"/>
  <c r="M92" i="1" s="1"/>
  <c r="K76" i="2"/>
  <c r="H93" i="1" s="1"/>
  <c r="J77" i="2"/>
  <c r="L78" i="2"/>
  <c r="E95" i="1"/>
  <c r="M78" i="2"/>
  <c r="J93" i="1" l="1"/>
  <c r="K93" i="1" s="1"/>
  <c r="I93" i="1"/>
  <c r="N93" i="1" s="1"/>
  <c r="M93" i="1" s="1"/>
  <c r="G94" i="1"/>
  <c r="K77" i="2"/>
  <c r="H94" i="1" s="1"/>
  <c r="O92" i="1"/>
  <c r="O75" i="2" s="1"/>
  <c r="I79" i="2"/>
  <c r="M79" i="2" s="1"/>
  <c r="F95" i="1"/>
  <c r="L95" i="1" s="1"/>
  <c r="J78" i="2"/>
  <c r="G95" i="1" s="1"/>
  <c r="E96" i="1" l="1"/>
  <c r="J94" i="1"/>
  <c r="O93" i="1"/>
  <c r="O76" i="2" s="1"/>
  <c r="L79" i="2"/>
  <c r="J79" i="2" s="1"/>
  <c r="I94" i="1"/>
  <c r="N94" i="1" s="1"/>
  <c r="M94" i="1" s="1"/>
  <c r="I80" i="2"/>
  <c r="F96" i="1"/>
  <c r="L96" i="1" s="1"/>
  <c r="K78" i="2"/>
  <c r="H95" i="1" s="1"/>
  <c r="G96" i="1" l="1"/>
  <c r="K79" i="2"/>
  <c r="H96" i="1" s="1"/>
  <c r="K94" i="1"/>
  <c r="O94" i="1" s="1"/>
  <c r="O77" i="2" s="1"/>
  <c r="J95" i="1"/>
  <c r="K95" i="1" s="1"/>
  <c r="I95" i="1"/>
  <c r="N95" i="1"/>
  <c r="M95" i="1" s="1"/>
  <c r="J96" i="1" s="1"/>
  <c r="L80" i="2"/>
  <c r="E97" i="1"/>
  <c r="M80" i="2"/>
  <c r="I96" i="1" l="1"/>
  <c r="N96" i="1" s="1"/>
  <c r="M96" i="1" s="1"/>
  <c r="J97" i="1" s="1"/>
  <c r="I81" i="2"/>
  <c r="L81" i="2" s="1"/>
  <c r="K96" i="1"/>
  <c r="F97" i="1"/>
  <c r="L97" i="1" s="1"/>
  <c r="O95" i="1"/>
  <c r="O78" i="2" s="1"/>
  <c r="J80" i="2"/>
  <c r="G97" i="1" s="1"/>
  <c r="O96" i="1" l="1"/>
  <c r="O79" i="2" s="1"/>
  <c r="E98" i="1"/>
  <c r="M81" i="2"/>
  <c r="J81" i="2" s="1"/>
  <c r="G98" i="1" s="1"/>
  <c r="F98" i="1"/>
  <c r="L98" i="1" s="1"/>
  <c r="K80" i="2"/>
  <c r="H97" i="1" s="1"/>
  <c r="K97" i="1"/>
  <c r="K81" i="2" l="1"/>
  <c r="H98" i="1" s="1"/>
  <c r="I98" i="1" s="1"/>
  <c r="N98" i="1" s="1"/>
  <c r="M98" i="1" s="1"/>
  <c r="I82" i="2"/>
  <c r="E99" i="1" s="1"/>
  <c r="I97" i="1"/>
  <c r="N97" i="1" s="1"/>
  <c r="M97" i="1" s="1"/>
  <c r="J98" i="1" s="1"/>
  <c r="M82" i="2" l="1"/>
  <c r="J82" i="2" s="1"/>
  <c r="G99" i="1" s="1"/>
  <c r="L82" i="2"/>
  <c r="F99" i="1" s="1"/>
  <c r="L99" i="1" s="1"/>
  <c r="J99" i="1"/>
  <c r="K98" i="1"/>
  <c r="O98" i="1" s="1"/>
  <c r="O81" i="2" s="1"/>
  <c r="O97" i="1"/>
  <c r="O80" i="2" s="1"/>
  <c r="I83" i="2" l="1"/>
  <c r="E100" i="1" s="1"/>
  <c r="K99" i="1"/>
  <c r="K82" i="2"/>
  <c r="H99" i="1" s="1"/>
  <c r="M83" i="2" l="1"/>
  <c r="L83" i="2"/>
  <c r="F100" i="1" s="1"/>
  <c r="L100" i="1" s="1"/>
  <c r="I84" i="2"/>
  <c r="I99" i="1"/>
  <c r="N99" i="1" s="1"/>
  <c r="M99" i="1" s="1"/>
  <c r="J100" i="1" s="1"/>
  <c r="J83" i="2" l="1"/>
  <c r="G100" i="1" s="1"/>
  <c r="K100" i="1"/>
  <c r="L84" i="2"/>
  <c r="E101" i="1"/>
  <c r="M84" i="2"/>
  <c r="J84" i="2" s="1"/>
  <c r="G101" i="1" s="1"/>
  <c r="O99" i="1"/>
  <c r="O82" i="2" s="1"/>
  <c r="K83" i="2" l="1"/>
  <c r="H100" i="1" s="1"/>
  <c r="I100" i="1" s="1"/>
  <c r="F101" i="1"/>
  <c r="L101" i="1" s="1"/>
  <c r="K84" i="2"/>
  <c r="H101" i="1" s="1"/>
  <c r="I85" i="2"/>
  <c r="N100" i="1" l="1"/>
  <c r="M100" i="1" s="1"/>
  <c r="I101" i="1"/>
  <c r="N101" i="1" s="1"/>
  <c r="M101" i="1" s="1"/>
  <c r="H85" i="2"/>
  <c r="L85" i="2"/>
  <c r="F102" i="1" s="1"/>
  <c r="E102" i="1"/>
  <c r="M85" i="2"/>
  <c r="J85" i="2" s="1"/>
  <c r="J101" i="1" l="1"/>
  <c r="K101" i="1" s="1"/>
  <c r="O101" i="1" s="1"/>
  <c r="O84" i="2" s="1"/>
  <c r="O100" i="1"/>
  <c r="O83" i="2" s="1"/>
  <c r="K85" i="2"/>
  <c r="H102" i="1" s="1"/>
  <c r="I86" i="2"/>
  <c r="L102" i="1"/>
  <c r="G102" i="1"/>
  <c r="J102" i="1" l="1"/>
  <c r="K102" i="1" s="1"/>
  <c r="E103" i="1"/>
  <c r="L86" i="2"/>
  <c r="M86" i="2"/>
  <c r="I102" i="1"/>
  <c r="N102" i="1" s="1"/>
  <c r="J86" i="2" l="1"/>
  <c r="G103" i="1" s="1"/>
  <c r="I87" i="2"/>
  <c r="F103" i="1"/>
  <c r="M102" i="1"/>
  <c r="K86" i="2" l="1"/>
  <c r="H103" i="1" s="1"/>
  <c r="I103" i="1" s="1"/>
  <c r="L103" i="1"/>
  <c r="E104" i="1"/>
  <c r="L87" i="2"/>
  <c r="M87" i="2"/>
  <c r="J87" i="2" s="1"/>
  <c r="J103" i="1"/>
  <c r="O102" i="1"/>
  <c r="O85" i="2" s="1"/>
  <c r="N103" i="1" l="1"/>
  <c r="M103" i="1" s="1"/>
  <c r="F104" i="1"/>
  <c r="K87" i="2"/>
  <c r="H104" i="1" s="1"/>
  <c r="G104" i="1"/>
  <c r="I88" i="2"/>
  <c r="K103" i="1"/>
  <c r="E105" i="1" l="1"/>
  <c r="L88" i="2"/>
  <c r="M88" i="2"/>
  <c r="J104" i="1"/>
  <c r="K104" i="1" s="1"/>
  <c r="I104" i="1"/>
  <c r="O103" i="1"/>
  <c r="O86" i="2" s="1"/>
  <c r="L104" i="1"/>
  <c r="J88" i="2" l="1"/>
  <c r="G105" i="1" s="1"/>
  <c r="N104" i="1"/>
  <c r="M104" i="1" s="1"/>
  <c r="O104" i="1" s="1"/>
  <c r="O87" i="2" s="1"/>
  <c r="I89" i="2"/>
  <c r="F105" i="1"/>
  <c r="K88" i="2" l="1"/>
  <c r="H105" i="1" s="1"/>
  <c r="I105" i="1" s="1"/>
  <c r="L105" i="1"/>
  <c r="E106" i="1"/>
  <c r="L89" i="2"/>
  <c r="M89" i="2"/>
  <c r="I90" i="2" s="1"/>
  <c r="J105" i="1"/>
  <c r="N105" i="1" l="1"/>
  <c r="M105" i="1" s="1"/>
  <c r="F106" i="1"/>
  <c r="E107" i="1"/>
  <c r="L90" i="2"/>
  <c r="M90" i="2"/>
  <c r="J90" i="2" s="1"/>
  <c r="G107" i="1" s="1"/>
  <c r="K105" i="1"/>
  <c r="J89" i="2"/>
  <c r="F107" i="1" l="1"/>
  <c r="L107" i="1" s="1"/>
  <c r="K90" i="2"/>
  <c r="H107" i="1" s="1"/>
  <c r="I91" i="2"/>
  <c r="G106" i="1"/>
  <c r="O105" i="1"/>
  <c r="O88" i="2" s="1"/>
  <c r="K89" i="2"/>
  <c r="H106" i="1" s="1"/>
  <c r="J106" i="1"/>
  <c r="L106" i="1"/>
  <c r="E108" i="1" l="1"/>
  <c r="L91" i="2"/>
  <c r="M91" i="2"/>
  <c r="I106" i="1"/>
  <c r="N106" i="1"/>
  <c r="I107" i="1"/>
  <c r="N107" i="1"/>
  <c r="M107" i="1" s="1"/>
  <c r="K106" i="1"/>
  <c r="J91" i="2" l="1"/>
  <c r="G108" i="1" s="1"/>
  <c r="M106" i="1"/>
  <c r="J107" i="1" s="1"/>
  <c r="I92" i="2"/>
  <c r="F108" i="1"/>
  <c r="L108" i="1" s="1"/>
  <c r="O106" i="1" l="1"/>
  <c r="O89" i="2" s="1"/>
  <c r="K91" i="2"/>
  <c r="H108" i="1" s="1"/>
  <c r="I108" i="1" s="1"/>
  <c r="N108" i="1" s="1"/>
  <c r="E109" i="1"/>
  <c r="L92" i="2"/>
  <c r="M92" i="2"/>
  <c r="J92" i="2" s="1"/>
  <c r="G109" i="1" s="1"/>
  <c r="J108" i="1"/>
  <c r="K107" i="1"/>
  <c r="O107" i="1" s="1"/>
  <c r="O90" i="2" s="1"/>
  <c r="K108" i="1" l="1"/>
  <c r="I93" i="2"/>
  <c r="F109" i="1"/>
  <c r="L109" i="1" s="1"/>
  <c r="K92" i="2"/>
  <c r="H109" i="1" s="1"/>
  <c r="M108" i="1"/>
  <c r="J109" i="1" s="1"/>
  <c r="K109" i="1" l="1"/>
  <c r="I109" i="1"/>
  <c r="N109" i="1" s="1"/>
  <c r="M109" i="1" s="1"/>
  <c r="J110" i="1" s="1"/>
  <c r="L93" i="2"/>
  <c r="E110" i="1"/>
  <c r="M93" i="2"/>
  <c r="J93" i="2" s="1"/>
  <c r="G110" i="1" s="1"/>
  <c r="O108" i="1"/>
  <c r="O91" i="2" s="1"/>
  <c r="K110" i="1" l="1"/>
  <c r="I94" i="2"/>
  <c r="F110" i="1"/>
  <c r="L110" i="1" s="1"/>
  <c r="K93" i="2"/>
  <c r="H110" i="1" s="1"/>
  <c r="O109" i="1"/>
  <c r="O92" i="2" s="1"/>
  <c r="I110" i="1" l="1"/>
  <c r="N110" i="1" s="1"/>
  <c r="M110" i="1" s="1"/>
  <c r="E111" i="1"/>
  <c r="L94" i="2"/>
  <c r="M94" i="2"/>
  <c r="J94" i="2" s="1"/>
  <c r="G111" i="1" s="1"/>
  <c r="J111" i="1" l="1"/>
  <c r="K111" i="1" s="1"/>
  <c r="O110" i="1"/>
  <c r="O93" i="2" s="1"/>
  <c r="I95" i="2"/>
  <c r="F111" i="1"/>
  <c r="L111" i="1" s="1"/>
  <c r="K94" i="2"/>
  <c r="H111" i="1" s="1"/>
  <c r="I111" i="1" l="1"/>
  <c r="N111" i="1" s="1"/>
  <c r="M111" i="1" s="1"/>
  <c r="J112" i="1" s="1"/>
  <c r="E112" i="1"/>
  <c r="L95" i="2"/>
  <c r="M95" i="2"/>
  <c r="J95" i="2" s="1"/>
  <c r="G112" i="1" s="1"/>
  <c r="I96" i="2" l="1"/>
  <c r="K112" i="1"/>
  <c r="F112" i="1"/>
  <c r="L112" i="1" s="1"/>
  <c r="K95" i="2"/>
  <c r="H112" i="1" s="1"/>
  <c r="O111" i="1"/>
  <c r="O94" i="2" s="1"/>
  <c r="I112" i="1" l="1"/>
  <c r="N112" i="1" s="1"/>
  <c r="M112" i="1" s="1"/>
  <c r="J113" i="1" s="1"/>
  <c r="E113" i="1"/>
  <c r="L96" i="2"/>
  <c r="M96" i="2"/>
  <c r="J96" i="2" s="1"/>
  <c r="G113" i="1" s="1"/>
  <c r="I97" i="2" l="1"/>
  <c r="F113" i="1"/>
  <c r="L113" i="1" s="1"/>
  <c r="K96" i="2"/>
  <c r="H113" i="1" s="1"/>
  <c r="O112" i="1"/>
  <c r="O95" i="2" s="1"/>
  <c r="K113" i="1"/>
  <c r="I113" i="1" l="1"/>
  <c r="N113" i="1" s="1"/>
  <c r="M113" i="1" s="1"/>
  <c r="J114" i="1" s="1"/>
  <c r="E114" i="1"/>
  <c r="L97" i="2"/>
  <c r="M97" i="2"/>
  <c r="J97" i="2" s="1"/>
  <c r="G114" i="1" s="1"/>
  <c r="I98" i="2" l="1"/>
  <c r="F114" i="1"/>
  <c r="L114" i="1" s="1"/>
  <c r="K97" i="2"/>
  <c r="H114" i="1" s="1"/>
  <c r="O113" i="1"/>
  <c r="O96" i="2" s="1"/>
  <c r="K114" i="1"/>
  <c r="I114" i="1" l="1"/>
  <c r="N114" i="1" s="1"/>
  <c r="M114" i="1" s="1"/>
  <c r="J115" i="1" s="1"/>
  <c r="E115" i="1"/>
  <c r="L98" i="2"/>
  <c r="M98" i="2"/>
  <c r="J98" i="2" s="1"/>
  <c r="G115" i="1" s="1"/>
  <c r="I99" i="2" l="1"/>
  <c r="F115" i="1"/>
  <c r="L115" i="1" s="1"/>
  <c r="K98" i="2"/>
  <c r="H115" i="1" s="1"/>
  <c r="O114" i="1"/>
  <c r="O97" i="2" s="1"/>
  <c r="K115" i="1"/>
  <c r="I115" i="1" l="1"/>
  <c r="N115" i="1" s="1"/>
  <c r="M115" i="1" s="1"/>
  <c r="J116" i="1" s="1"/>
  <c r="E116" i="1"/>
  <c r="L99" i="2"/>
  <c r="M99" i="2"/>
  <c r="J99" i="2" s="1"/>
  <c r="G116" i="1" s="1"/>
  <c r="F116" i="1" l="1"/>
  <c r="L116" i="1" s="1"/>
  <c r="K99" i="2"/>
  <c r="H116" i="1" s="1"/>
  <c r="I100" i="2"/>
  <c r="O115" i="1"/>
  <c r="O98" i="2" s="1"/>
  <c r="K116" i="1"/>
  <c r="E117" i="1" l="1"/>
  <c r="L100" i="2"/>
  <c r="M100" i="2"/>
  <c r="I116" i="1"/>
  <c r="N116" i="1" s="1"/>
  <c r="M116" i="1" s="1"/>
  <c r="J117" i="1" s="1"/>
  <c r="J100" i="2" l="1"/>
  <c r="G117" i="1" s="1"/>
  <c r="O116" i="1"/>
  <c r="O99" i="2" s="1"/>
  <c r="I101" i="2"/>
  <c r="K117" i="1"/>
  <c r="F117" i="1"/>
  <c r="L117" i="1" s="1"/>
  <c r="K100" i="2" l="1"/>
  <c r="H117" i="1" s="1"/>
  <c r="E118" i="1"/>
  <c r="L101" i="2"/>
  <c r="M101" i="2"/>
  <c r="J101" i="2" s="1"/>
  <c r="G118" i="1" s="1"/>
  <c r="N117" i="1" l="1"/>
  <c r="M117" i="1" s="1"/>
  <c r="J118" i="1" s="1"/>
  <c r="K118" i="1" s="1"/>
  <c r="I117" i="1"/>
  <c r="I102" i="2"/>
  <c r="F118" i="1"/>
  <c r="L118" i="1" s="1"/>
  <c r="K101" i="2"/>
  <c r="H118" i="1" s="1"/>
  <c r="O117" i="1" l="1"/>
  <c r="O100" i="2" s="1"/>
  <c r="I118" i="1"/>
  <c r="N118" i="1" s="1"/>
  <c r="M118" i="1" s="1"/>
  <c r="J119" i="1" s="1"/>
  <c r="E119" i="1"/>
  <c r="L102" i="2"/>
  <c r="M102" i="2"/>
  <c r="J102" i="2" s="1"/>
  <c r="G119" i="1" s="1"/>
  <c r="F119" i="1" l="1"/>
  <c r="L119" i="1" s="1"/>
  <c r="K102" i="2"/>
  <c r="H119" i="1" s="1"/>
  <c r="K119" i="1"/>
  <c r="I103" i="2"/>
  <c r="O118" i="1"/>
  <c r="O101" i="2" s="1"/>
  <c r="E120" i="1" l="1"/>
  <c r="L103" i="2"/>
  <c r="M103" i="2"/>
  <c r="I119" i="1"/>
  <c r="N119" i="1"/>
  <c r="M119" i="1" s="1"/>
  <c r="J120" i="1" s="1"/>
  <c r="J103" i="2" l="1"/>
  <c r="G120" i="1" s="1"/>
  <c r="K120" i="1"/>
  <c r="O119" i="1"/>
  <c r="O102" i="2" s="1"/>
  <c r="I104" i="2"/>
  <c r="F120" i="1"/>
  <c r="L120" i="1" s="1"/>
  <c r="K103" i="2" l="1"/>
  <c r="H120" i="1" s="1"/>
  <c r="I120" i="1" s="1"/>
  <c r="N120" i="1" s="1"/>
  <c r="M120" i="1" s="1"/>
  <c r="J121" i="1" s="1"/>
  <c r="E121" i="1"/>
  <c r="L104" i="2"/>
  <c r="M104" i="2"/>
  <c r="J104" i="2" s="1"/>
  <c r="G121" i="1" s="1"/>
  <c r="K121" i="1" l="1"/>
  <c r="I105" i="2"/>
  <c r="H105" i="2" s="1"/>
  <c r="O120" i="1"/>
  <c r="O103" i="2" s="1"/>
  <c r="F121" i="1"/>
  <c r="L121" i="1" s="1"/>
  <c r="K104" i="2"/>
  <c r="H121" i="1" s="1"/>
  <c r="I121" i="1" l="1"/>
  <c r="N121" i="1" s="1"/>
  <c r="M121" i="1" s="1"/>
  <c r="J122" i="1" s="1"/>
  <c r="E122" i="1"/>
  <c r="L105" i="2"/>
  <c r="M105" i="2"/>
  <c r="J105" i="2" s="1"/>
  <c r="G122" i="1" s="1"/>
  <c r="O121" i="1" l="1"/>
  <c r="O104" i="2" s="1"/>
  <c r="F122" i="1"/>
  <c r="L122" i="1" s="1"/>
  <c r="K105" i="2"/>
  <c r="H122" i="1" s="1"/>
  <c r="I106" i="2"/>
  <c r="K122" i="1"/>
  <c r="E123" i="1" l="1"/>
  <c r="L106" i="2"/>
  <c r="M106" i="2"/>
  <c r="I122" i="1"/>
  <c r="N122" i="1"/>
  <c r="M122" i="1" s="1"/>
  <c r="J123" i="1" s="1"/>
  <c r="J106" i="2" l="1"/>
  <c r="G123" i="1" s="1"/>
  <c r="K123" i="1"/>
  <c r="I107" i="2"/>
  <c r="F123" i="1"/>
  <c r="L123" i="1" s="1"/>
  <c r="O122" i="1"/>
  <c r="O105" i="2" s="1"/>
  <c r="K106" i="2" l="1"/>
  <c r="H123" i="1" s="1"/>
  <c r="I123" i="1" s="1"/>
  <c r="N123" i="1" s="1"/>
  <c r="M123" i="1" s="1"/>
  <c r="J124" i="1" s="1"/>
  <c r="E124" i="1"/>
  <c r="L107" i="2"/>
  <c r="M107" i="2"/>
  <c r="J107" i="2" s="1"/>
  <c r="G124" i="1" s="1"/>
  <c r="O123" i="1" l="1"/>
  <c r="O106" i="2" s="1"/>
  <c r="F124" i="1"/>
  <c r="L124" i="1" s="1"/>
  <c r="K107" i="2"/>
  <c r="H124" i="1" s="1"/>
  <c r="I108" i="2"/>
  <c r="K124" i="1"/>
  <c r="E125" i="1" l="1"/>
  <c r="L108" i="2"/>
  <c r="M108" i="2"/>
  <c r="I124" i="1"/>
  <c r="N124" i="1" s="1"/>
  <c r="M124" i="1" s="1"/>
  <c r="J125" i="1" s="1"/>
  <c r="J108" i="2" l="1"/>
  <c r="G125" i="1" s="1"/>
  <c r="I109" i="2"/>
  <c r="K125" i="1"/>
  <c r="F125" i="1"/>
  <c r="L125" i="1" s="1"/>
  <c r="O124" i="1"/>
  <c r="O107" i="2" s="1"/>
  <c r="K108" i="2" l="1"/>
  <c r="H125" i="1" s="1"/>
  <c r="I125" i="1" s="1"/>
  <c r="N125" i="1" s="1"/>
  <c r="M125" i="1" s="1"/>
  <c r="J126" i="1" s="1"/>
  <c r="E126" i="1"/>
  <c r="L109" i="2"/>
  <c r="M109" i="2"/>
  <c r="J109" i="2" s="1"/>
  <c r="G126" i="1" s="1"/>
  <c r="I110" i="2" l="1"/>
  <c r="F126" i="1"/>
  <c r="L126" i="1" s="1"/>
  <c r="K109" i="2"/>
  <c r="H126" i="1" s="1"/>
  <c r="O125" i="1"/>
  <c r="O108" i="2" s="1"/>
  <c r="K126" i="1"/>
  <c r="I126" i="1" l="1"/>
  <c r="N126" i="1" s="1"/>
  <c r="M126" i="1" s="1"/>
  <c r="J127" i="1" s="1"/>
  <c r="E127" i="1"/>
  <c r="L110" i="2"/>
  <c r="M110" i="2"/>
  <c r="J110" i="2" s="1"/>
  <c r="G127" i="1" s="1"/>
  <c r="I111" i="2" l="1"/>
  <c r="F127" i="1"/>
  <c r="L127" i="1" s="1"/>
  <c r="K110" i="2"/>
  <c r="H127" i="1" s="1"/>
  <c r="O126" i="1"/>
  <c r="O109" i="2" s="1"/>
  <c r="K127" i="1"/>
  <c r="I127" i="1" l="1"/>
  <c r="N127" i="1" s="1"/>
  <c r="M127" i="1" s="1"/>
  <c r="J128" i="1" s="1"/>
  <c r="E128" i="1"/>
  <c r="L111" i="2"/>
  <c r="M111" i="2"/>
  <c r="J111" i="2" s="1"/>
  <c r="G128" i="1" s="1"/>
  <c r="K128" i="1" l="1"/>
  <c r="I112" i="2"/>
  <c r="F128" i="1"/>
  <c r="L128" i="1" s="1"/>
  <c r="K111" i="2"/>
  <c r="H128" i="1" s="1"/>
  <c r="O127" i="1"/>
  <c r="O110" i="2" s="1"/>
  <c r="E129" i="1" l="1"/>
  <c r="L112" i="2"/>
  <c r="M112" i="2"/>
  <c r="I128" i="1"/>
  <c r="N128" i="1"/>
  <c r="M128" i="1" s="1"/>
  <c r="J129" i="1" s="1"/>
  <c r="J112" i="2" l="1"/>
  <c r="G129" i="1" s="1"/>
  <c r="O128" i="1"/>
  <c r="O111" i="2" s="1"/>
  <c r="I113" i="2"/>
  <c r="K129" i="1"/>
  <c r="F129" i="1"/>
  <c r="L129" i="1" s="1"/>
  <c r="K112" i="2" l="1"/>
  <c r="H129" i="1" s="1"/>
  <c r="I129" i="1" s="1"/>
  <c r="N129" i="1" s="1"/>
  <c r="M129" i="1" s="1"/>
  <c r="J130" i="1" s="1"/>
  <c r="E130" i="1"/>
  <c r="L113" i="2"/>
  <c r="M113" i="2"/>
  <c r="J113" i="2" s="1"/>
  <c r="G130" i="1" s="1"/>
  <c r="I114" i="2" l="1"/>
  <c r="F130" i="1"/>
  <c r="L130" i="1" s="1"/>
  <c r="K113" i="2"/>
  <c r="H130" i="1" s="1"/>
  <c r="O129" i="1"/>
  <c r="O112" i="2" s="1"/>
  <c r="K130" i="1"/>
  <c r="I130" i="1" l="1"/>
  <c r="N130" i="1"/>
  <c r="M130" i="1" s="1"/>
  <c r="J131" i="1" s="1"/>
  <c r="E131" i="1"/>
  <c r="L114" i="2"/>
  <c r="M114" i="2"/>
  <c r="J114" i="2" s="1"/>
  <c r="G131" i="1" s="1"/>
  <c r="F131" i="1" l="1"/>
  <c r="L131" i="1" s="1"/>
  <c r="K114" i="2"/>
  <c r="H131" i="1" s="1"/>
  <c r="I115" i="2"/>
  <c r="O130" i="1"/>
  <c r="O113" i="2" s="1"/>
  <c r="K131" i="1"/>
  <c r="E132" i="1" l="1"/>
  <c r="L115" i="2"/>
  <c r="M115" i="2"/>
  <c r="I131" i="1"/>
  <c r="N131" i="1"/>
  <c r="M131" i="1" s="1"/>
  <c r="J132" i="1" s="1"/>
  <c r="J115" i="2" l="1"/>
  <c r="G132" i="1" s="1"/>
  <c r="K132" i="1"/>
  <c r="I116" i="2"/>
  <c r="F132" i="1"/>
  <c r="L132" i="1" s="1"/>
  <c r="O131" i="1"/>
  <c r="O114" i="2" s="1"/>
  <c r="K115" i="2" l="1"/>
  <c r="H132" i="1" s="1"/>
  <c r="I132" i="1" s="1"/>
  <c r="N132" i="1" s="1"/>
  <c r="M132" i="1" s="1"/>
  <c r="E133" i="1"/>
  <c r="L116" i="2"/>
  <c r="M116" i="2"/>
  <c r="J116" i="2" s="1"/>
  <c r="G133" i="1" s="1"/>
  <c r="J133" i="1" l="1"/>
  <c r="K133" i="1" s="1"/>
  <c r="O132" i="1"/>
  <c r="O115" i="2" s="1"/>
  <c r="I117" i="2"/>
  <c r="F133" i="1"/>
  <c r="L133" i="1" s="1"/>
  <c r="K116" i="2"/>
  <c r="H133" i="1" s="1"/>
  <c r="I133" i="1" l="1"/>
  <c r="N133" i="1"/>
  <c r="M133" i="1" s="1"/>
  <c r="J134" i="1" s="1"/>
  <c r="E134" i="1"/>
  <c r="L117" i="2"/>
  <c r="M117" i="2"/>
  <c r="J117" i="2" s="1"/>
  <c r="G134" i="1" s="1"/>
  <c r="I118" i="2" l="1"/>
  <c r="K134" i="1"/>
  <c r="F134" i="1"/>
  <c r="K117" i="2"/>
  <c r="H134" i="1" s="1"/>
  <c r="O133" i="1"/>
  <c r="O116" i="2" s="1"/>
  <c r="I134" i="1" l="1"/>
  <c r="L134" i="1"/>
  <c r="N134" i="1" s="1"/>
  <c r="M134" i="1" s="1"/>
  <c r="E135" i="1"/>
  <c r="L118" i="2"/>
  <c r="M118" i="2"/>
  <c r="J118" i="2" s="1"/>
  <c r="G135" i="1" s="1"/>
  <c r="J135" i="1" l="1"/>
  <c r="O134" i="1"/>
  <c r="O117" i="2" s="1"/>
  <c r="I119" i="2"/>
  <c r="F135" i="1"/>
  <c r="L135" i="1" s="1"/>
  <c r="K118" i="2"/>
  <c r="H135" i="1" s="1"/>
  <c r="I135" i="1" l="1"/>
  <c r="N135" i="1" s="1"/>
  <c r="M135" i="1" s="1"/>
  <c r="J136" i="1" s="1"/>
  <c r="E136" i="1"/>
  <c r="L119" i="2"/>
  <c r="M119" i="2"/>
  <c r="J119" i="2" s="1"/>
  <c r="G136" i="1" s="1"/>
  <c r="K135" i="1"/>
  <c r="O135" i="1" l="1"/>
  <c r="O118" i="2" s="1"/>
  <c r="F136" i="1"/>
  <c r="L136" i="1" s="1"/>
  <c r="K119" i="2"/>
  <c r="H136" i="1" s="1"/>
  <c r="I120" i="2"/>
  <c r="K136" i="1"/>
  <c r="E137" i="1" l="1"/>
  <c r="L120" i="2"/>
  <c r="M120" i="2"/>
  <c r="I136" i="1"/>
  <c r="N136" i="1"/>
  <c r="M136" i="1" s="1"/>
  <c r="J137" i="1" s="1"/>
  <c r="J120" i="2" l="1"/>
  <c r="G137" i="1" s="1"/>
  <c r="K137" i="1"/>
  <c r="F137" i="1"/>
  <c r="L137" i="1" s="1"/>
  <c r="I121" i="2"/>
  <c r="O136" i="1"/>
  <c r="O119" i="2" s="1"/>
  <c r="K120" i="2" l="1"/>
  <c r="H137" i="1" s="1"/>
  <c r="I137" i="1" s="1"/>
  <c r="N137" i="1" s="1"/>
  <c r="M137" i="1" s="1"/>
  <c r="J138" i="1" s="1"/>
  <c r="E138" i="1"/>
  <c r="L121" i="2"/>
  <c r="M121" i="2"/>
  <c r="J121" i="2" s="1"/>
  <c r="G138" i="1" s="1"/>
  <c r="O137" i="1" l="1"/>
  <c r="O120" i="2" s="1"/>
  <c r="F138" i="1"/>
  <c r="L138" i="1" s="1"/>
  <c r="K121" i="2"/>
  <c r="H138" i="1" s="1"/>
  <c r="I122" i="2"/>
  <c r="K138" i="1"/>
  <c r="E139" i="1" l="1"/>
  <c r="L122" i="2"/>
  <c r="M122" i="2"/>
  <c r="I138" i="1"/>
  <c r="N138" i="1"/>
  <c r="M138" i="1" s="1"/>
  <c r="J139" i="1" s="1"/>
  <c r="J122" i="2" l="1"/>
  <c r="G139" i="1" s="1"/>
  <c r="K139" i="1"/>
  <c r="O138" i="1"/>
  <c r="O121" i="2" s="1"/>
  <c r="I123" i="2"/>
  <c r="F139" i="1"/>
  <c r="L139" i="1" s="1"/>
  <c r="K122" i="2" l="1"/>
  <c r="H139" i="1" s="1"/>
  <c r="I139" i="1" s="1"/>
  <c r="E140" i="1"/>
  <c r="L123" i="2"/>
  <c r="M123" i="2"/>
  <c r="J123" i="2" s="1"/>
  <c r="G140" i="1" s="1"/>
  <c r="N139" i="1" l="1"/>
  <c r="M139" i="1" s="1"/>
  <c r="J140" i="1" s="1"/>
  <c r="K140" i="1" s="1"/>
  <c r="I124" i="2"/>
  <c r="F140" i="1"/>
  <c r="L140" i="1" s="1"/>
  <c r="K123" i="2"/>
  <c r="H140" i="1" s="1"/>
  <c r="O139" i="1" l="1"/>
  <c r="O122" i="2" s="1"/>
  <c r="E141" i="1"/>
  <c r="L124" i="2"/>
  <c r="M124" i="2"/>
  <c r="I140" i="1"/>
  <c r="N140" i="1"/>
  <c r="M140" i="1" s="1"/>
  <c r="J141" i="1" s="1"/>
  <c r="J124" i="2" l="1"/>
  <c r="G141" i="1" s="1"/>
  <c r="O140" i="1"/>
  <c r="O123" i="2" s="1"/>
  <c r="I125" i="2"/>
  <c r="K141" i="1"/>
  <c r="F141" i="1"/>
  <c r="L141" i="1" s="1"/>
  <c r="K124" i="2" l="1"/>
  <c r="H141" i="1" s="1"/>
  <c r="E142" i="1"/>
  <c r="L125" i="2"/>
  <c r="M125" i="2"/>
  <c r="J125" i="2" s="1"/>
  <c r="I141" i="1" l="1"/>
  <c r="N141" i="1" s="1"/>
  <c r="M141" i="1" s="1"/>
  <c r="G142" i="1"/>
  <c r="G21" i="1" s="1"/>
  <c r="J4" i="2"/>
  <c r="F142" i="1"/>
  <c r="K125" i="2"/>
  <c r="H142" i="1" s="1"/>
  <c r="J142" i="1" l="1"/>
  <c r="K142" i="1" s="1"/>
  <c r="K21" i="1" s="1"/>
  <c r="O141" i="1"/>
  <c r="O124" i="2" s="1"/>
  <c r="H21" i="1"/>
  <c r="I142" i="1"/>
  <c r="L142" i="1"/>
  <c r="F21" i="1"/>
  <c r="L21" i="1" l="1"/>
  <c r="N142" i="1"/>
  <c r="M142" i="1" l="1"/>
  <c r="N21" i="1"/>
  <c r="M21" i="1" l="1"/>
  <c r="O142" i="1"/>
  <c r="O125" i="2" s="1"/>
  <c r="O3" i="2" s="1"/>
  <c r="C18" i="1" s="1"/>
  <c r="E22" i="4" s="1"/>
</calcChain>
</file>

<file path=xl/sharedStrings.xml><?xml version="1.0" encoding="utf-8"?>
<sst xmlns="http://schemas.openxmlformats.org/spreadsheetml/2006/main" count="69" uniqueCount="53">
  <si>
    <t>Capital</t>
  </si>
  <si>
    <t>Interés</t>
  </si>
  <si>
    <t>Total</t>
  </si>
  <si>
    <t>N° días</t>
  </si>
  <si>
    <t>Fecha Incial</t>
  </si>
  <si>
    <t>Fecha Final</t>
  </si>
  <si>
    <t>Cuota</t>
  </si>
  <si>
    <t>Banco Ripley</t>
  </si>
  <si>
    <t xml:space="preserve">Simulador de Cuotas </t>
  </si>
  <si>
    <t>N°</t>
  </si>
  <si>
    <t>Factor</t>
  </si>
  <si>
    <t>Forma Financiera</t>
  </si>
  <si>
    <t>Parche para cliente</t>
  </si>
  <si>
    <t>Desgravamen</t>
  </si>
  <si>
    <t>Duración</t>
  </si>
  <si>
    <t>Normal</t>
  </si>
  <si>
    <t>días</t>
  </si>
  <si>
    <t>Factor 1</t>
  </si>
  <si>
    <t>amortización</t>
  </si>
  <si>
    <t>días acum</t>
  </si>
  <si>
    <t>Cuota Normal</t>
  </si>
  <si>
    <t>Fecha de desembolso</t>
  </si>
  <si>
    <t>Fecha de Vencimiento</t>
  </si>
  <si>
    <t>comision</t>
  </si>
  <si>
    <t>Desgrav.</t>
  </si>
  <si>
    <t>Amortiz.</t>
  </si>
  <si>
    <t>Ultima Fecha de pago</t>
  </si>
  <si>
    <t>Financiar</t>
  </si>
  <si>
    <t>Monto Solicitado</t>
  </si>
  <si>
    <t>Tasa de Interes Anual</t>
  </si>
  <si>
    <t>Numero de Cuotas</t>
  </si>
  <si>
    <t>TCEA</t>
  </si>
  <si>
    <t>Desgravamen (% mensual)</t>
  </si>
  <si>
    <t>Primera Fecha de pago</t>
  </si>
  <si>
    <t>Interes Pagado</t>
  </si>
  <si>
    <t>Interes generados</t>
  </si>
  <si>
    <t>SIMULADOR PARA CREDITOS POR CONVENIO</t>
  </si>
  <si>
    <t>PRODUCTO</t>
  </si>
  <si>
    <t>Credito por Convenio</t>
  </si>
  <si>
    <t>MONTO</t>
  </si>
  <si>
    <t xml:space="preserve"> </t>
  </si>
  <si>
    <t>PLAZO</t>
  </si>
  <si>
    <t>TEA</t>
  </si>
  <si>
    <t>CUOTA</t>
  </si>
  <si>
    <t>TCEA*</t>
  </si>
  <si>
    <t>FECHA DESEMBOLSO</t>
  </si>
  <si>
    <t>Periodo de gracia (días)</t>
  </si>
  <si>
    <t>Periodo de Gracia (días)</t>
  </si>
  <si>
    <t>Comisión  dscto planilla</t>
  </si>
  <si>
    <t>&gt; 60</t>
  </si>
  <si>
    <t>Monto</t>
  </si>
  <si>
    <t>Tasa</t>
  </si>
  <si>
    <t>&lt;&lt;&lt;&lt;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</si>
</sst>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7" formatCode="&quot;S/.&quot;\ #,##0.00;&quot;S/.&quot;\ \-#,##0.00"/>
    <numFmt numFmtId="43" formatCode="_ * #,##0.00_ ;_ * \-#,##0.00_ ;_ * &quot;-&quot;??_ ;_ @_ "/>
    <numFmt numFmtId="164" formatCode="_(* #,##0.00_);_(* \(#,##0.00\);_(* &quot;-&quot;??_);_(@_)"/>
    <numFmt numFmtId="165" formatCode="#,##0.0000"/>
    <numFmt numFmtId="166" formatCode="_(* #,##0.0000_);_(* \(#,##0.0000\);_(* &quot;-&quot;??_);_(@_)"/>
    <numFmt numFmtId="167" formatCode="0.0000%"/>
    <numFmt numFmtId="168" formatCode="_(* #,##0_);_(* \(#,##0\);_(* &quot;-&quot;??_);_(@_)"/>
    <numFmt numFmtId="169" formatCode="0.000%"/>
    <numFmt numFmtId="170" formatCode="_ * #,##0.00000_ ;_ * \-#,##0.00000_ ;_ * &quot;-&quot;??_ ;_ @_ "/>
    <numFmt numFmtId="171" formatCode="0.0%"/>
    <numFmt numFmtId="172" formatCode="&quot;S/.&quot;\ #,##0.00"/>
  </numFmts>
  <fonts count="31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theme="0"/>
      <name val="Arial"/>
      <family val="2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18"/>
      <name val="Arial"/>
      <family val="2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0" fillId="4" borderId="0" applyNumberFormat="0" applyBorder="0" applyAlignment="0" applyProtection="0"/>
    <xf numFmtId="0" fontId="15" fillId="16" borderId="1" applyNumberFormat="0" applyAlignment="0" applyProtection="0"/>
    <xf numFmtId="0" fontId="17" fillId="17" borderId="2" applyNumberFormat="0" applyAlignment="0" applyProtection="0"/>
    <xf numFmtId="0" fontId="16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13" fillId="7" borderId="1" applyNumberFormat="0" applyAlignment="0" applyProtection="0"/>
    <xf numFmtId="0" fontId="11" fillId="3" borderId="0" applyNumberFormat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23" borderId="4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150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4" fontId="22" fillId="24" borderId="10" xfId="0" applyNumberFormat="1" applyFont="1" applyFill="1" applyBorder="1" applyAlignment="1">
      <alignment horizontal="left"/>
    </xf>
    <xf numFmtId="4" fontId="3" fillId="0" borderId="11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0" fontId="22" fillId="24" borderId="14" xfId="0" applyFont="1" applyFill="1" applyBorder="1" applyAlignment="1">
      <alignment horizontal="center"/>
    </xf>
    <xf numFmtId="0" fontId="22" fillId="24" borderId="15" xfId="0" applyFont="1" applyFill="1" applyBorder="1" applyAlignment="1">
      <alignment horizontal="center"/>
    </xf>
    <xf numFmtId="4" fontId="22" fillId="24" borderId="15" xfId="0" applyNumberFormat="1" applyFont="1" applyFill="1" applyBorder="1" applyAlignment="1">
      <alignment horizontal="center"/>
    </xf>
    <xf numFmtId="4" fontId="22" fillId="24" borderId="16" xfId="0" applyNumberFormat="1" applyFont="1" applyFill="1" applyBorder="1" applyAlignment="1">
      <alignment horizontal="center"/>
    </xf>
    <xf numFmtId="4" fontId="0" fillId="0" borderId="0" xfId="0" applyNumberFormat="1"/>
    <xf numFmtId="0" fontId="23" fillId="25" borderId="0" xfId="0" applyFont="1" applyFill="1" applyAlignment="1">
      <alignment vertical="center"/>
    </xf>
    <xf numFmtId="0" fontId="4" fillId="26" borderId="0" xfId="0" applyFont="1" applyFill="1" applyAlignment="1">
      <alignment vertical="center"/>
    </xf>
    <xf numFmtId="0" fontId="22" fillId="24" borderId="24" xfId="0" applyFont="1" applyFill="1" applyBorder="1" applyAlignment="1">
      <alignment horizontal="center"/>
    </xf>
    <xf numFmtId="3" fontId="0" fillId="0" borderId="22" xfId="32" applyNumberFormat="1" applyFont="1" applyFill="1" applyBorder="1" applyAlignment="1">
      <alignment horizontal="center"/>
    </xf>
    <xf numFmtId="3" fontId="0" fillId="0" borderId="23" xfId="32" applyNumberFormat="1" applyFont="1" applyFill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4" fontId="22" fillId="24" borderId="14" xfId="0" applyNumberFormat="1" applyFont="1" applyFill="1" applyBorder="1" applyAlignment="1">
      <alignment horizontal="center"/>
    </xf>
    <xf numFmtId="4" fontId="3" fillId="0" borderId="27" xfId="0" applyNumberFormat="1" applyFont="1" applyBorder="1" applyAlignment="1">
      <alignment horizontal="center"/>
    </xf>
    <xf numFmtId="4" fontId="22" fillId="24" borderId="28" xfId="0" applyNumberFormat="1" applyFont="1" applyFill="1" applyBorder="1" applyAlignment="1">
      <alignment horizontal="center"/>
    </xf>
    <xf numFmtId="3" fontId="2" fillId="26" borderId="10" xfId="0" applyNumberFormat="1" applyFont="1" applyFill="1" applyBorder="1" applyAlignment="1">
      <alignment horizontal="center"/>
    </xf>
    <xf numFmtId="4" fontId="3" fillId="0" borderId="30" xfId="0" applyNumberFormat="1" applyFont="1" applyBorder="1" applyAlignment="1">
      <alignment horizontal="center"/>
    </xf>
    <xf numFmtId="4" fontId="22" fillId="24" borderId="31" xfId="0" applyNumberFormat="1" applyFont="1" applyFill="1" applyBorder="1" applyAlignment="1">
      <alignment horizontal="center"/>
    </xf>
    <xf numFmtId="0" fontId="2" fillId="0" borderId="0" xfId="0" applyFont="1"/>
    <xf numFmtId="4" fontId="2" fillId="0" borderId="0" xfId="0" applyNumberFormat="1" applyFont="1"/>
    <xf numFmtId="4" fontId="22" fillId="24" borderId="10" xfId="0" applyNumberFormat="1" applyFont="1" applyFill="1" applyBorder="1" applyAlignment="1">
      <alignment horizontal="center"/>
    </xf>
    <xf numFmtId="4" fontId="2" fillId="26" borderId="10" xfId="0" applyNumberFormat="1" applyFont="1" applyFill="1" applyBorder="1" applyAlignment="1">
      <alignment horizontal="center"/>
    </xf>
    <xf numFmtId="167" fontId="0" fillId="0" borderId="0" xfId="37" applyNumberFormat="1" applyFont="1" applyAlignment="1">
      <alignment horizontal="center"/>
    </xf>
    <xf numFmtId="14" fontId="2" fillId="26" borderId="10" xfId="0" applyNumberFormat="1" applyFont="1" applyFill="1" applyBorder="1" applyAlignment="1">
      <alignment horizontal="center"/>
    </xf>
    <xf numFmtId="10" fontId="2" fillId="26" borderId="10" xfId="37" applyNumberFormat="1" applyFont="1" applyFill="1" applyBorder="1" applyAlignment="1">
      <alignment horizontal="center"/>
    </xf>
    <xf numFmtId="4" fontId="24" fillId="27" borderId="10" xfId="0" applyNumberFormat="1" applyFont="1" applyFill="1" applyBorder="1" applyAlignment="1">
      <alignment horizontal="left"/>
    </xf>
    <xf numFmtId="14" fontId="5" fillId="27" borderId="10" xfId="0" applyNumberFormat="1" applyFont="1" applyFill="1" applyBorder="1" applyAlignment="1">
      <alignment horizontal="center" vertical="center"/>
    </xf>
    <xf numFmtId="4" fontId="5" fillId="27" borderId="10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5" fillId="25" borderId="0" xfId="0" applyFont="1" applyFill="1" applyAlignment="1">
      <alignment vertical="center"/>
    </xf>
    <xf numFmtId="9" fontId="2" fillId="0" borderId="0" xfId="0" applyNumberFormat="1" applyFont="1"/>
    <xf numFmtId="10" fontId="5" fillId="27" borderId="10" xfId="37" applyNumberFormat="1" applyFont="1" applyFill="1" applyBorder="1" applyAlignment="1">
      <alignment horizontal="center" vertical="center"/>
    </xf>
    <xf numFmtId="0" fontId="0" fillId="0" borderId="0" xfId="0" applyProtection="1"/>
    <xf numFmtId="0" fontId="26" fillId="0" borderId="11" xfId="0" applyFont="1" applyBorder="1" applyProtection="1"/>
    <xf numFmtId="0" fontId="26" fillId="0" borderId="30" xfId="0" applyFont="1" applyBorder="1" applyProtection="1"/>
    <xf numFmtId="0" fontId="0" fillId="0" borderId="30" xfId="0" applyBorder="1" applyProtection="1"/>
    <xf numFmtId="0" fontId="0" fillId="0" borderId="27" xfId="0" applyBorder="1" applyProtection="1"/>
    <xf numFmtId="0" fontId="0" fillId="0" borderId="0" xfId="0" applyBorder="1" applyProtection="1"/>
    <xf numFmtId="0" fontId="26" fillId="0" borderId="25" xfId="0" applyFont="1" applyBorder="1" applyProtection="1"/>
    <xf numFmtId="0" fontId="26" fillId="0" borderId="0" xfId="0" applyFont="1" applyBorder="1" applyProtection="1"/>
    <xf numFmtId="0" fontId="0" fillId="0" borderId="26" xfId="0" applyBorder="1" applyProtection="1"/>
    <xf numFmtId="0" fontId="26" fillId="0" borderId="25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0" fillId="0" borderId="39" xfId="0" applyBorder="1" applyProtection="1"/>
    <xf numFmtId="0" fontId="0" fillId="0" borderId="40" xfId="0" applyBorder="1" applyProtection="1"/>
    <xf numFmtId="0" fontId="26" fillId="0" borderId="38" xfId="0" applyFont="1" applyBorder="1" applyProtection="1"/>
    <xf numFmtId="0" fontId="26" fillId="0" borderId="39" xfId="0" applyFont="1" applyBorder="1" applyProtection="1"/>
    <xf numFmtId="167" fontId="2" fillId="0" borderId="0" xfId="37" applyNumberFormat="1" applyFont="1" applyAlignment="1">
      <alignment horizontal="center"/>
    </xf>
    <xf numFmtId="169" fontId="2" fillId="0" borderId="0" xfId="37" applyNumberFormat="1" applyFont="1"/>
    <xf numFmtId="10" fontId="2" fillId="0" borderId="0" xfId="37" applyNumberFormat="1" applyFont="1" applyAlignment="1">
      <alignment horizontal="center"/>
    </xf>
    <xf numFmtId="0" fontId="0" fillId="0" borderId="0" xfId="0" applyFill="1"/>
    <xf numFmtId="0" fontId="0" fillId="0" borderId="0" xfId="0" applyBorder="1" applyAlignment="1" applyProtection="1">
      <alignment horizontal="center"/>
    </xf>
    <xf numFmtId="0" fontId="0" fillId="0" borderId="17" xfId="0" applyFill="1" applyBorder="1" applyAlignment="1">
      <alignment horizontal="center"/>
    </xf>
    <xf numFmtId="4" fontId="0" fillId="0" borderId="17" xfId="0" applyNumberFormat="1" applyFill="1" applyBorder="1" applyAlignment="1">
      <alignment horizontal="center"/>
    </xf>
    <xf numFmtId="4" fontId="0" fillId="0" borderId="32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4" fontId="0" fillId="0" borderId="18" xfId="0" applyNumberFormat="1" applyFill="1" applyBorder="1" applyAlignment="1">
      <alignment horizontal="center"/>
    </xf>
    <xf numFmtId="4" fontId="0" fillId="0" borderId="35" xfId="0" applyNumberFormat="1" applyFill="1" applyBorder="1" applyAlignment="1">
      <alignment horizontal="center"/>
    </xf>
    <xf numFmtId="4" fontId="0" fillId="0" borderId="22" xfId="0" applyNumberFormat="1" applyFill="1" applyBorder="1" applyAlignment="1">
      <alignment horizontal="center"/>
    </xf>
    <xf numFmtId="4" fontId="0" fillId="0" borderId="29" xfId="0" applyNumberFormat="1" applyFill="1" applyBorder="1" applyAlignment="1">
      <alignment horizontal="center"/>
    </xf>
    <xf numFmtId="4" fontId="2" fillId="0" borderId="10" xfId="0" applyNumberFormat="1" applyFont="1" applyFill="1" applyBorder="1" applyAlignment="1">
      <alignment horizontal="center"/>
    </xf>
    <xf numFmtId="4" fontId="2" fillId="0" borderId="22" xfId="0" applyNumberFormat="1" applyFont="1" applyFill="1" applyBorder="1" applyAlignment="1">
      <alignment horizontal="center"/>
    </xf>
    <xf numFmtId="4" fontId="2" fillId="0" borderId="18" xfId="0" applyNumberFormat="1" applyFont="1" applyFill="1" applyBorder="1" applyAlignment="1">
      <alignment horizontal="center"/>
    </xf>
    <xf numFmtId="4" fontId="2" fillId="0" borderId="29" xfId="0" applyNumberFormat="1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14" fontId="2" fillId="0" borderId="20" xfId="0" applyNumberFormat="1" applyFont="1" applyFill="1" applyBorder="1" applyAlignment="1">
      <alignment horizontal="center"/>
    </xf>
    <xf numFmtId="4" fontId="2" fillId="0" borderId="19" xfId="0" applyNumberFormat="1" applyFont="1" applyFill="1" applyBorder="1" applyAlignment="1">
      <alignment horizontal="center"/>
    </xf>
    <xf numFmtId="4" fontId="2" fillId="0" borderId="33" xfId="0" applyNumberFormat="1" applyFont="1" applyFill="1" applyBorder="1" applyAlignment="1">
      <alignment horizontal="center"/>
    </xf>
    <xf numFmtId="4" fontId="2" fillId="0" borderId="20" xfId="0" applyNumberFormat="1" applyFont="1" applyFill="1" applyBorder="1" applyAlignment="1">
      <alignment horizontal="center"/>
    </xf>
    <xf numFmtId="4" fontId="2" fillId="0" borderId="21" xfId="0" applyNumberFormat="1" applyFont="1" applyFill="1" applyBorder="1" applyAlignment="1">
      <alignment horizontal="center"/>
    </xf>
    <xf numFmtId="4" fontId="0" fillId="0" borderId="36" xfId="0" applyNumberFormat="1" applyFill="1" applyBorder="1" applyAlignment="1">
      <alignment horizontal="center"/>
    </xf>
    <xf numFmtId="4" fontId="0" fillId="0" borderId="23" xfId="0" applyNumberFormat="1" applyFill="1" applyBorder="1" applyAlignment="1">
      <alignment horizontal="center"/>
    </xf>
    <xf numFmtId="4" fontId="0" fillId="0" borderId="21" xfId="0" applyNumberFormat="1" applyFill="1" applyBorder="1" applyAlignment="1">
      <alignment horizontal="center"/>
    </xf>
    <xf numFmtId="4" fontId="2" fillId="0" borderId="34" xfId="0" applyNumberFormat="1" applyFont="1" applyFill="1" applyBorder="1" applyAlignment="1">
      <alignment horizontal="center"/>
    </xf>
    <xf numFmtId="0" fontId="3" fillId="0" borderId="26" xfId="0" quotePrefix="1" applyFont="1" applyBorder="1" applyAlignment="1" applyProtection="1">
      <alignment horizontal="center" vertical="center"/>
    </xf>
    <xf numFmtId="171" fontId="2" fillId="26" borderId="0" xfId="37" applyNumberFormat="1" applyFont="1" applyFill="1" applyBorder="1" applyAlignment="1">
      <alignment horizontal="center"/>
    </xf>
    <xf numFmtId="171" fontId="2" fillId="26" borderId="45" xfId="37" applyNumberFormat="1" applyFont="1" applyFill="1" applyBorder="1" applyAlignment="1">
      <alignment horizontal="center"/>
    </xf>
    <xf numFmtId="171" fontId="2" fillId="26" borderId="47" xfId="37" applyNumberFormat="1" applyFont="1" applyFill="1" applyBorder="1" applyAlignment="1">
      <alignment horizontal="center"/>
    </xf>
    <xf numFmtId="171" fontId="2" fillId="26" borderId="48" xfId="37" applyNumberFormat="1" applyFont="1" applyFill="1" applyBorder="1" applyAlignment="1">
      <alignment horizontal="center"/>
    </xf>
    <xf numFmtId="0" fontId="2" fillId="30" borderId="41" xfId="0" applyFont="1" applyFill="1" applyBorder="1" applyAlignment="1">
      <alignment horizontal="center"/>
    </xf>
    <xf numFmtId="0" fontId="3" fillId="30" borderId="42" xfId="0" applyFont="1" applyFill="1" applyBorder="1" applyAlignment="1">
      <alignment horizontal="center"/>
    </xf>
    <xf numFmtId="0" fontId="3" fillId="30" borderId="43" xfId="0" quotePrefix="1" applyFont="1" applyFill="1" applyBorder="1" applyAlignment="1">
      <alignment horizontal="center"/>
    </xf>
    <xf numFmtId="4" fontId="3" fillId="30" borderId="44" xfId="0" applyNumberFormat="1" applyFont="1" applyFill="1" applyBorder="1" applyAlignment="1">
      <alignment horizontal="center"/>
    </xf>
    <xf numFmtId="4" fontId="3" fillId="30" borderId="0" xfId="0" applyNumberFormat="1" applyFont="1" applyFill="1" applyBorder="1" applyAlignment="1">
      <alignment horizontal="center"/>
    </xf>
    <xf numFmtId="4" fontId="3" fillId="30" borderId="45" xfId="0" applyNumberFormat="1" applyFont="1" applyFill="1" applyBorder="1" applyAlignment="1">
      <alignment horizontal="center"/>
    </xf>
    <xf numFmtId="4" fontId="3" fillId="30" borderId="46" xfId="0" applyNumberFormat="1" applyFont="1" applyFill="1" applyBorder="1" applyAlignment="1">
      <alignment horizontal="center"/>
    </xf>
    <xf numFmtId="14" fontId="28" fillId="31" borderId="10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horizontal="center" vertical="center"/>
    </xf>
    <xf numFmtId="0" fontId="3" fillId="0" borderId="26" xfId="0" applyFont="1" applyBorder="1" applyProtection="1"/>
    <xf numFmtId="0" fontId="30" fillId="0" borderId="0" xfId="0" applyFont="1" applyBorder="1" applyProtection="1"/>
    <xf numFmtId="172" fontId="28" fillId="31" borderId="10" xfId="0" applyNumberFormat="1" applyFont="1" applyFill="1" applyBorder="1" applyAlignment="1" applyProtection="1">
      <alignment horizontal="center" vertical="center"/>
      <protection locked="0"/>
    </xf>
    <xf numFmtId="1" fontId="28" fillId="31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2" fillId="29" borderId="0" xfId="0" applyFont="1" applyFill="1" applyProtection="1">
      <protection hidden="1"/>
    </xf>
    <xf numFmtId="10" fontId="29" fillId="29" borderId="0" xfId="0" applyNumberFormat="1" applyFont="1" applyFill="1" applyProtection="1">
      <protection hidden="1"/>
    </xf>
    <xf numFmtId="0" fontId="0" fillId="29" borderId="0" xfId="0" applyFill="1" applyProtection="1">
      <protection hidden="1"/>
    </xf>
    <xf numFmtId="43" fontId="0" fillId="29" borderId="0" xfId="0" applyNumberFormat="1" applyFill="1" applyProtection="1">
      <protection hidden="1"/>
    </xf>
    <xf numFmtId="0" fontId="0" fillId="0" borderId="0" xfId="0" applyFill="1" applyProtection="1">
      <protection hidden="1"/>
    </xf>
    <xf numFmtId="9" fontId="0" fillId="29" borderId="0" xfId="0" applyNumberFormat="1" applyFill="1" applyProtection="1">
      <protection hidden="1"/>
    </xf>
    <xf numFmtId="167" fontId="0" fillId="29" borderId="0" xfId="37" applyNumberFormat="1" applyFont="1" applyFill="1" applyProtection="1">
      <protection hidden="1"/>
    </xf>
    <xf numFmtId="10" fontId="0" fillId="29" borderId="0" xfId="0" applyNumberFormat="1" applyFill="1" applyProtection="1">
      <protection hidden="1"/>
    </xf>
    <xf numFmtId="0" fontId="22" fillId="24" borderId="15" xfId="0" applyFont="1" applyFill="1" applyBorder="1" applyAlignment="1" applyProtection="1">
      <alignment horizontal="center"/>
      <protection hidden="1"/>
    </xf>
    <xf numFmtId="164" fontId="0" fillId="29" borderId="0" xfId="32" applyFont="1" applyFill="1" applyProtection="1">
      <protection hidden="1"/>
    </xf>
    <xf numFmtId="164" fontId="0" fillId="29" borderId="0" xfId="0" applyNumberFormat="1" applyFill="1" applyProtection="1">
      <protection hidden="1"/>
    </xf>
    <xf numFmtId="14" fontId="0" fillId="29" borderId="10" xfId="0" applyNumberFormat="1" applyFill="1" applyBorder="1" applyAlignment="1" applyProtection="1">
      <alignment horizontal="center"/>
      <protection hidden="1"/>
    </xf>
    <xf numFmtId="14" fontId="0" fillId="0" borderId="10" xfId="0" applyNumberFormat="1" applyFill="1" applyBorder="1" applyAlignment="1" applyProtection="1">
      <alignment horizontal="center"/>
      <protection hidden="1"/>
    </xf>
    <xf numFmtId="3" fontId="0" fillId="0" borderId="0" xfId="0" applyNumberFormat="1" applyFill="1" applyProtection="1">
      <protection hidden="1"/>
    </xf>
    <xf numFmtId="4" fontId="0" fillId="29" borderId="0" xfId="0" applyNumberFormat="1" applyFill="1" applyProtection="1">
      <protection hidden="1"/>
    </xf>
    <xf numFmtId="3" fontId="0" fillId="29" borderId="0" xfId="0" applyNumberFormat="1" applyFill="1" applyProtection="1">
      <protection hidden="1"/>
    </xf>
    <xf numFmtId="166" fontId="0" fillId="29" borderId="0" xfId="32" applyNumberFormat="1" applyFont="1" applyFill="1" applyProtection="1">
      <protection hidden="1"/>
    </xf>
    <xf numFmtId="168" fontId="0" fillId="29" borderId="0" xfId="32" applyNumberFormat="1" applyFont="1" applyFill="1" applyProtection="1">
      <protection hidden="1"/>
    </xf>
    <xf numFmtId="170" fontId="0" fillId="29" borderId="0" xfId="0" applyNumberFormat="1" applyFill="1" applyProtection="1">
      <protection hidden="1"/>
    </xf>
    <xf numFmtId="43" fontId="0" fillId="28" borderId="0" xfId="0" applyNumberFormat="1" applyFill="1" applyProtection="1">
      <protection hidden="1"/>
    </xf>
    <xf numFmtId="43" fontId="0" fillId="0" borderId="0" xfId="0" applyNumberFormat="1" applyProtection="1">
      <protection hidden="1"/>
    </xf>
    <xf numFmtId="166" fontId="0" fillId="0" borderId="0" xfId="32" applyNumberFormat="1" applyFont="1" applyFill="1" applyProtection="1">
      <protection hidden="1"/>
    </xf>
    <xf numFmtId="168" fontId="0" fillId="0" borderId="0" xfId="32" applyNumberFormat="1" applyFont="1" applyFill="1" applyProtection="1">
      <protection hidden="1"/>
    </xf>
    <xf numFmtId="164" fontId="0" fillId="0" borderId="0" xfId="32" applyFont="1" applyFill="1" applyProtection="1">
      <protection hidden="1"/>
    </xf>
    <xf numFmtId="43" fontId="0" fillId="0" borderId="0" xfId="0" applyNumberFormat="1" applyFill="1" applyProtection="1">
      <protection hidden="1"/>
    </xf>
    <xf numFmtId="14" fontId="0" fillId="0" borderId="20" xfId="0" applyNumberFormat="1" applyFill="1" applyBorder="1" applyAlignment="1" applyProtection="1">
      <alignment horizontal="center"/>
      <protection hidden="1"/>
    </xf>
    <xf numFmtId="166" fontId="2" fillId="0" borderId="0" xfId="32" applyNumberFormat="1" applyFont="1" applyFill="1" applyProtection="1">
      <protection hidden="1"/>
    </xf>
    <xf numFmtId="168" fontId="2" fillId="0" borderId="0" xfId="32" applyNumberFormat="1" applyFont="1" applyFill="1" applyProtection="1">
      <protection hidden="1"/>
    </xf>
    <xf numFmtId="164" fontId="2" fillId="0" borderId="0" xfId="32" applyFont="1" applyFill="1" applyProtection="1">
      <protection hidden="1"/>
    </xf>
    <xf numFmtId="43" fontId="2" fillId="0" borderId="0" xfId="0" applyNumberFormat="1" applyFont="1" applyFill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Protection="1"/>
    <xf numFmtId="7" fontId="0" fillId="0" borderId="0" xfId="0" applyNumberFormat="1" applyProtection="1"/>
    <xf numFmtId="7" fontId="28" fillId="32" borderId="10" xfId="0" applyNumberFormat="1" applyFont="1" applyFill="1" applyBorder="1" applyAlignment="1" applyProtection="1">
      <alignment horizontal="center" vertical="center"/>
    </xf>
    <xf numFmtId="1" fontId="28" fillId="32" borderId="10" xfId="0" applyNumberFormat="1" applyFont="1" applyFill="1" applyBorder="1" applyAlignment="1" applyProtection="1">
      <alignment horizontal="center" vertical="center"/>
    </xf>
    <xf numFmtId="14" fontId="28" fillId="32" borderId="10" xfId="0" applyNumberFormat="1" applyFont="1" applyFill="1" applyBorder="1" applyAlignment="1" applyProtection="1">
      <alignment horizontal="center" vertical="center"/>
    </xf>
    <xf numFmtId="10" fontId="28" fillId="32" borderId="10" xfId="37" applyNumberFormat="1" applyFont="1" applyFill="1" applyBorder="1" applyAlignment="1" applyProtection="1">
      <alignment horizontal="center" vertical="center"/>
    </xf>
    <xf numFmtId="0" fontId="27" fillId="26" borderId="25" xfId="0" applyFont="1" applyFill="1" applyBorder="1" applyAlignment="1" applyProtection="1">
      <alignment horizontal="center" vertical="center"/>
    </xf>
    <xf numFmtId="0" fontId="27" fillId="26" borderId="0" xfId="0" applyFont="1" applyFill="1" applyBorder="1" applyAlignment="1" applyProtection="1">
      <alignment horizontal="center" vertical="center"/>
    </xf>
    <xf numFmtId="0" fontId="27" fillId="26" borderId="26" xfId="0" applyFont="1" applyFill="1" applyBorder="1" applyAlignment="1" applyProtection="1">
      <alignment horizontal="center" vertical="center"/>
    </xf>
    <xf numFmtId="4" fontId="22" fillId="27" borderId="30" xfId="0" applyNumberFormat="1" applyFont="1" applyFill="1" applyBorder="1" applyAlignment="1">
      <alignment horizontal="center"/>
    </xf>
    <xf numFmtId="4" fontId="22" fillId="27" borderId="27" xfId="0" applyNumberFormat="1" applyFont="1" applyFill="1" applyBorder="1" applyAlignment="1">
      <alignment horizontal="center"/>
    </xf>
    <xf numFmtId="4" fontId="22" fillId="24" borderId="11" xfId="0" applyNumberFormat="1" applyFont="1" applyFill="1" applyBorder="1" applyAlignment="1">
      <alignment horizontal="center"/>
    </xf>
    <xf numFmtId="4" fontId="22" fillId="24" borderId="30" xfId="0" applyNumberFormat="1" applyFont="1" applyFill="1" applyBorder="1" applyAlignment="1">
      <alignment horizontal="center"/>
    </xf>
    <xf numFmtId="4" fontId="22" fillId="24" borderId="37" xfId="0" applyNumberFormat="1" applyFont="1" applyFill="1" applyBorder="1" applyAlignment="1">
      <alignment horizontal="center"/>
    </xf>
  </cellXfs>
  <cellStyles count="47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Incorrecto 2" xfId="31"/>
    <cellStyle name="Millares" xfId="32" builtinId="3"/>
    <cellStyle name="Millares 2" xfId="33"/>
    <cellStyle name="Neutral 2" xfId="34"/>
    <cellStyle name="Normal" xfId="0" builtinId="0"/>
    <cellStyle name="Normal 2" xfId="35"/>
    <cellStyle name="Notas 2" xfId="36"/>
    <cellStyle name="Porcentaje" xfId="37" builtinId="5"/>
    <cellStyle name="Porcentaje 2" xfId="38"/>
    <cellStyle name="Salida 2" xfId="39"/>
    <cellStyle name="Texto de advertencia 2" xfId="40"/>
    <cellStyle name="Texto explicativo 2" xfId="41"/>
    <cellStyle name="Título 1 2" xfId="42"/>
    <cellStyle name="Título 2 2" xfId="43"/>
    <cellStyle name="Título 3 2" xfId="44"/>
    <cellStyle name="Título 4" xfId="45"/>
    <cellStyle name="Total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tabSelected="1" topLeftCell="A3" zoomScale="70" zoomScaleNormal="70" workbookViewId="0">
      <selection activeCell="E10" sqref="E10"/>
    </sheetView>
  </sheetViews>
  <sheetFormatPr baseColWidth="10" defaultColWidth="0" defaultRowHeight="13.2" zeroHeight="1" x14ac:dyDescent="0.25"/>
  <cols>
    <col min="1" max="1" width="5.6640625" style="44" customWidth="1"/>
    <col min="2" max="2" width="6.33203125" style="44" customWidth="1"/>
    <col min="3" max="3" width="35.5546875" style="44" customWidth="1"/>
    <col min="4" max="4" width="2.5546875" style="44" customWidth="1"/>
    <col min="5" max="5" width="44.6640625" style="44" customWidth="1"/>
    <col min="6" max="6" width="9.6640625" style="44" customWidth="1"/>
    <col min="7" max="7" width="11.44140625" style="44" customWidth="1"/>
    <col min="8" max="8" width="12.109375" style="44" hidden="1" customWidth="1"/>
    <col min="9" max="9" width="11.44140625" style="44" hidden="1" customWidth="1"/>
    <col min="10" max="10" width="32.44140625" style="44" hidden="1" customWidth="1"/>
    <col min="11" max="16384" width="11.44140625" style="44" hidden="1"/>
  </cols>
  <sheetData>
    <row r="1" spans="2:9" hidden="1" x14ac:dyDescent="0.25"/>
    <row r="2" spans="2:9" hidden="1" x14ac:dyDescent="0.25"/>
    <row r="3" spans="2:9" ht="13.8" thickBot="1" x14ac:dyDescent="0.3"/>
    <row r="4" spans="2:9" ht="23.4" x14ac:dyDescent="0.45">
      <c r="B4" s="45"/>
      <c r="C4" s="46"/>
      <c r="D4" s="47"/>
      <c r="E4" s="47"/>
      <c r="F4" s="48"/>
      <c r="G4" s="49"/>
    </row>
    <row r="5" spans="2:9" ht="23.4" x14ac:dyDescent="0.45">
      <c r="B5" s="50"/>
      <c r="C5" s="51"/>
      <c r="D5" s="49"/>
      <c r="E5" s="49"/>
      <c r="F5" s="52"/>
      <c r="G5" s="49"/>
    </row>
    <row r="6" spans="2:9" ht="31.2" x14ac:dyDescent="0.25">
      <c r="B6" s="142" t="s">
        <v>36</v>
      </c>
      <c r="C6" s="143"/>
      <c r="D6" s="143"/>
      <c r="E6" s="143"/>
      <c r="F6" s="144"/>
      <c r="G6" s="49"/>
    </row>
    <row r="7" spans="2:9" ht="23.4" x14ac:dyDescent="0.45">
      <c r="B7" s="50"/>
      <c r="C7" s="51"/>
      <c r="D7" s="49"/>
      <c r="E7" s="49"/>
      <c r="F7" s="52"/>
    </row>
    <row r="8" spans="2:9" ht="23.4" x14ac:dyDescent="0.25">
      <c r="B8" s="53"/>
      <c r="C8" s="54" t="s">
        <v>37</v>
      </c>
      <c r="D8" s="49"/>
      <c r="E8" s="138" t="s">
        <v>38</v>
      </c>
      <c r="F8" s="52"/>
    </row>
    <row r="9" spans="2:9" ht="23.4" x14ac:dyDescent="0.45">
      <c r="B9" s="50"/>
      <c r="C9" s="51"/>
      <c r="D9" s="49"/>
      <c r="E9" s="49"/>
      <c r="F9" s="52"/>
    </row>
    <row r="10" spans="2:9" ht="23.4" x14ac:dyDescent="0.25">
      <c r="B10" s="53"/>
      <c r="C10" s="99" t="s">
        <v>39</v>
      </c>
      <c r="D10" s="49"/>
      <c r="E10" s="102">
        <v>45000</v>
      </c>
      <c r="F10" s="86" t="s">
        <v>52</v>
      </c>
    </row>
    <row r="11" spans="2:9" ht="23.4" x14ac:dyDescent="0.45">
      <c r="B11" s="50"/>
      <c r="C11" s="101"/>
      <c r="D11" s="49"/>
      <c r="E11" s="63" t="s">
        <v>40</v>
      </c>
      <c r="F11" s="100"/>
      <c r="I11" s="136"/>
    </row>
    <row r="12" spans="2:9" ht="23.4" x14ac:dyDescent="0.25">
      <c r="B12" s="53"/>
      <c r="C12" s="99" t="s">
        <v>45</v>
      </c>
      <c r="D12" s="49"/>
      <c r="E12" s="98">
        <v>43346</v>
      </c>
      <c r="F12" s="86" t="s">
        <v>52</v>
      </c>
      <c r="I12" s="136"/>
    </row>
    <row r="13" spans="2:9" ht="23.4" x14ac:dyDescent="0.45">
      <c r="B13" s="50"/>
      <c r="C13" s="101"/>
      <c r="D13" s="49"/>
      <c r="E13" s="63" t="s">
        <v>40</v>
      </c>
      <c r="F13" s="100"/>
      <c r="I13" s="136"/>
    </row>
    <row r="14" spans="2:9" ht="23.4" x14ac:dyDescent="0.25">
      <c r="B14" s="53"/>
      <c r="C14" s="99" t="s">
        <v>41</v>
      </c>
      <c r="D14" s="49"/>
      <c r="E14" s="103">
        <v>60</v>
      </c>
      <c r="F14" s="86" t="s">
        <v>52</v>
      </c>
      <c r="I14" s="136"/>
    </row>
    <row r="15" spans="2:9" ht="23.4" x14ac:dyDescent="0.45">
      <c r="B15" s="50"/>
      <c r="C15" s="51"/>
      <c r="D15" s="49"/>
      <c r="E15" s="63" t="s">
        <v>40</v>
      </c>
      <c r="F15" s="52"/>
      <c r="I15" s="136"/>
    </row>
    <row r="16" spans="2:9" ht="23.4" x14ac:dyDescent="0.25">
      <c r="B16" s="53"/>
      <c r="C16" s="54" t="s">
        <v>47</v>
      </c>
      <c r="D16" s="49"/>
      <c r="E16" s="139">
        <f>+SIMULADOR!C10</f>
        <v>68</v>
      </c>
      <c r="F16" s="86"/>
      <c r="I16" s="136"/>
    </row>
    <row r="17" spans="2:9" ht="23.4" x14ac:dyDescent="0.45">
      <c r="B17" s="50"/>
      <c r="C17" s="51"/>
      <c r="D17" s="49"/>
      <c r="E17" s="63" t="s">
        <v>40</v>
      </c>
      <c r="F17" s="52"/>
      <c r="I17" s="136"/>
    </row>
    <row r="18" spans="2:9" ht="23.4" x14ac:dyDescent="0.45">
      <c r="B18" s="50"/>
      <c r="C18" s="54" t="s">
        <v>33</v>
      </c>
      <c r="D18" s="49"/>
      <c r="E18" s="140">
        <f>+SIMULADOR!C16</f>
        <v>43414</v>
      </c>
      <c r="F18" s="52"/>
      <c r="I18" s="136"/>
    </row>
    <row r="19" spans="2:9" ht="23.4" x14ac:dyDescent="0.45">
      <c r="B19" s="50"/>
      <c r="C19" s="51" t="s">
        <v>40</v>
      </c>
      <c r="D19" s="49"/>
      <c r="E19" s="63"/>
      <c r="F19" s="52"/>
      <c r="I19" s="136"/>
    </row>
    <row r="20" spans="2:9" ht="23.4" x14ac:dyDescent="0.25">
      <c r="B20" s="53"/>
      <c r="C20" s="54" t="s">
        <v>42</v>
      </c>
      <c r="D20" s="49"/>
      <c r="E20" s="141">
        <f>+SIMULADOR!C12</f>
        <v>0.125</v>
      </c>
      <c r="F20" s="52"/>
      <c r="I20" s="136"/>
    </row>
    <row r="21" spans="2:9" ht="23.4" x14ac:dyDescent="0.45">
      <c r="B21" s="50"/>
      <c r="C21" s="51"/>
      <c r="D21" s="49"/>
      <c r="E21" s="63"/>
      <c r="F21" s="52"/>
      <c r="I21" s="136"/>
    </row>
    <row r="22" spans="2:9" ht="23.4" x14ac:dyDescent="0.25">
      <c r="B22" s="53"/>
      <c r="C22" s="54" t="s">
        <v>44</v>
      </c>
      <c r="D22" s="49"/>
      <c r="E22" s="141">
        <f>+SIMULADOR!C18</f>
        <v>0.13987472653388977</v>
      </c>
      <c r="F22" s="52"/>
      <c r="I22" s="136"/>
    </row>
    <row r="23" spans="2:9" ht="23.4" x14ac:dyDescent="0.45">
      <c r="B23" s="50"/>
      <c r="C23" s="51"/>
      <c r="D23" s="49"/>
      <c r="E23" s="63"/>
      <c r="F23" s="52"/>
      <c r="I23" s="136"/>
    </row>
    <row r="24" spans="2:9" ht="23.4" x14ac:dyDescent="0.25">
      <c r="B24" s="53"/>
      <c r="C24" s="54" t="s">
        <v>43</v>
      </c>
      <c r="D24" s="49"/>
      <c r="E24" s="138">
        <f>+SIMULADOR!C19</f>
        <v>1041.9142245595167</v>
      </c>
      <c r="F24" s="52"/>
      <c r="H24" s="137"/>
      <c r="I24" s="136"/>
    </row>
    <row r="25" spans="2:9" ht="24" thickBot="1" x14ac:dyDescent="0.5">
      <c r="B25" s="57"/>
      <c r="C25" s="58"/>
      <c r="D25" s="55"/>
      <c r="E25" s="55"/>
      <c r="F25" s="56"/>
      <c r="I25" s="136"/>
    </row>
    <row r="26" spans="2:9" x14ac:dyDescent="0.25">
      <c r="I26" s="136"/>
    </row>
  </sheetData>
  <sheetProtection password="A58B" sheet="1" objects="1" scenarios="1" selectLockedCells="1"/>
  <mergeCells count="1">
    <mergeCell ref="B6:F6"/>
  </mergeCells>
  <dataValidations count="1">
    <dataValidation type="whole" allowBlank="1" showInputMessage="1" showErrorMessage="1" errorTitle="Error" error="El monto desembolsado no puede ser mayor a S/ 80,000.00" sqref="E10">
      <formula1>0</formula1>
      <formula2>80000</formula2>
    </dataValidation>
  </dataValidations>
  <pageMargins left="0.7" right="0.7" top="0.75" bottom="0.75" header="0.3" footer="0.3"/>
  <pageSetup paperSize="9" orientation="portrait" horizontalDpi="300" verticalDpi="300" r:id="rId1"/>
  <ignoredErrors>
    <ignoredError sqref="E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42"/>
  <sheetViews>
    <sheetView showGridLines="0" zoomScale="110" zoomScaleNormal="110" workbookViewId="0">
      <selection activeCell="E15" sqref="E15"/>
    </sheetView>
  </sheetViews>
  <sheetFormatPr baseColWidth="10" defaultRowHeight="13.2" x14ac:dyDescent="0.25"/>
  <cols>
    <col min="1" max="1" width="1.88671875" customWidth="1"/>
    <col min="2" max="2" width="26.88671875" bestFit="1" customWidth="1"/>
    <col min="3" max="3" width="21.6640625" bestFit="1" customWidth="1"/>
    <col min="4" max="4" width="6.5546875" customWidth="1"/>
    <col min="5" max="5" width="10.109375" style="1" customWidth="1"/>
    <col min="6" max="6" width="10.109375" style="1" bestFit="1" customWidth="1"/>
    <col min="7" max="7" width="10.109375" style="1" customWidth="1"/>
    <col min="8" max="8" width="11.109375" style="1" customWidth="1"/>
    <col min="9" max="9" width="8.109375" style="1" customWidth="1"/>
    <col min="10" max="10" width="10.109375" style="1" bestFit="1" customWidth="1"/>
    <col min="11" max="11" width="9.109375" style="1" bestFit="1" customWidth="1"/>
    <col min="12" max="12" width="8.88671875" style="1" bestFit="1" customWidth="1"/>
    <col min="13" max="13" width="10.109375" style="1" bestFit="1" customWidth="1"/>
    <col min="14" max="14" width="9.109375" style="1" bestFit="1" customWidth="1"/>
    <col min="15" max="15" width="10.109375" style="1" bestFit="1" customWidth="1"/>
    <col min="16" max="16" width="15.33203125" bestFit="1" customWidth="1"/>
  </cols>
  <sheetData>
    <row r="1" spans="1:26" s="14" customFormat="1" ht="22.8" x14ac:dyDescent="0.25">
      <c r="A1" s="14" t="s">
        <v>7</v>
      </c>
    </row>
    <row r="2" spans="1:26" s="14" customFormat="1" ht="3" customHeight="1" x14ac:dyDescent="0.25"/>
    <row r="3" spans="1:26" s="14" customFormat="1" ht="3" customHeight="1" x14ac:dyDescent="0.25"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6" ht="4.95" customHeight="1" x14ac:dyDescent="0.25">
      <c r="J4" s="40"/>
      <c r="K4" s="40"/>
      <c r="L4" s="40"/>
      <c r="M4" s="40"/>
      <c r="N4" s="40"/>
      <c r="O4" s="40"/>
      <c r="P4" s="28"/>
      <c r="Q4" s="28"/>
      <c r="R4" s="28"/>
      <c r="S4" s="28"/>
      <c r="T4" s="28"/>
    </row>
    <row r="5" spans="1:26" s="15" customFormat="1" ht="13.2" customHeight="1" x14ac:dyDescent="0.25">
      <c r="A5" s="15" t="s">
        <v>8</v>
      </c>
    </row>
    <row r="6" spans="1:26" s="15" customFormat="1" ht="13.2" customHeight="1" x14ac:dyDescent="0.25"/>
    <row r="7" spans="1:26" x14ac:dyDescent="0.25">
      <c r="F7" s="91"/>
      <c r="G7" s="92">
        <v>60</v>
      </c>
      <c r="H7" s="93" t="s">
        <v>49</v>
      </c>
      <c r="J7" s="40"/>
      <c r="K7" s="40"/>
      <c r="L7" s="40"/>
      <c r="M7" s="40"/>
      <c r="N7" s="40"/>
      <c r="O7" s="40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x14ac:dyDescent="0.25">
      <c r="B8" s="5" t="s">
        <v>28</v>
      </c>
      <c r="C8" s="31">
        <f>+'Crédito por Convenio'!E10</f>
        <v>45000</v>
      </c>
      <c r="E8" s="2"/>
      <c r="F8" s="94" t="s">
        <v>50</v>
      </c>
      <c r="G8" s="95" t="s">
        <v>51</v>
      </c>
      <c r="H8" s="96" t="s">
        <v>51</v>
      </c>
      <c r="I8" s="39"/>
      <c r="J8" s="39"/>
      <c r="K8" s="39"/>
      <c r="L8" s="39"/>
      <c r="M8" s="39"/>
      <c r="N8" s="39"/>
      <c r="O8" s="38"/>
      <c r="P8" s="28"/>
      <c r="Q8" s="28"/>
      <c r="R8" s="28"/>
      <c r="S8" s="28"/>
      <c r="T8" s="28"/>
      <c r="U8" s="28"/>
      <c r="V8" s="28" t="s">
        <v>27</v>
      </c>
      <c r="W8" s="28" t="s">
        <v>14</v>
      </c>
      <c r="X8" s="28" t="s">
        <v>14</v>
      </c>
      <c r="Y8" s="28"/>
      <c r="Z8" s="28"/>
    </row>
    <row r="9" spans="1:26" x14ac:dyDescent="0.25">
      <c r="B9" s="5" t="s">
        <v>21</v>
      </c>
      <c r="C9" s="33">
        <f>+'Crédito por Convenio'!E12</f>
        <v>43346</v>
      </c>
      <c r="D9" s="2"/>
      <c r="E9" s="2"/>
      <c r="F9" s="94">
        <v>20000</v>
      </c>
      <c r="G9" s="87">
        <v>0.16</v>
      </c>
      <c r="H9" s="88">
        <v>0.17</v>
      </c>
      <c r="I9" s="28"/>
      <c r="J9" s="28"/>
      <c r="K9" s="28"/>
      <c r="L9" s="28"/>
      <c r="M9" s="28"/>
      <c r="N9" s="28"/>
      <c r="O9" s="28"/>
      <c r="P9" s="42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x14ac:dyDescent="0.25">
      <c r="B10" s="5" t="s">
        <v>46</v>
      </c>
      <c r="C10" s="25">
        <f>+(EOMONTH(C9,1)+10)-C9</f>
        <v>68</v>
      </c>
      <c r="F10" s="94">
        <v>40000</v>
      </c>
      <c r="G10" s="87">
        <v>0.14000000000000001</v>
      </c>
      <c r="H10" s="88">
        <v>0.15</v>
      </c>
      <c r="I10" s="38"/>
      <c r="J10" s="39"/>
      <c r="K10" s="39"/>
      <c r="L10" s="39"/>
      <c r="M10" s="39"/>
      <c r="N10" s="39"/>
      <c r="O10" s="38"/>
      <c r="P10" s="29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x14ac:dyDescent="0.25">
      <c r="B11" s="5" t="s">
        <v>30</v>
      </c>
      <c r="C11" s="25">
        <f>+'Crédito por Convenio'!E14</f>
        <v>60</v>
      </c>
      <c r="E11" s="2"/>
      <c r="F11" s="97">
        <v>80000</v>
      </c>
      <c r="G11" s="89">
        <v>0.125</v>
      </c>
      <c r="H11" s="90">
        <v>0.13500000000000001</v>
      </c>
      <c r="I11" s="28"/>
      <c r="J11" s="39"/>
      <c r="K11" s="39"/>
      <c r="L11" s="39"/>
      <c r="M11" s="39"/>
      <c r="N11" s="39"/>
      <c r="O11" s="38"/>
      <c r="P11" s="29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x14ac:dyDescent="0.25">
      <c r="B12" s="5" t="s">
        <v>29</v>
      </c>
      <c r="C12" s="34">
        <f>IF(C11&lt;=G7,IF($C$8&lt;=F9,G9,IF($C$8&lt;=$F$10,G10,G11)),IF($C$8&lt;=F9,H9,IF($C$8&lt;=$F$10,H10,H11)))</f>
        <v>0.125</v>
      </c>
      <c r="F12" s="2"/>
      <c r="G12" s="61"/>
      <c r="H12" s="38"/>
      <c r="I12" s="38"/>
      <c r="J12" s="39"/>
      <c r="K12" s="39"/>
      <c r="L12" s="39"/>
      <c r="M12" s="39"/>
      <c r="N12" s="39"/>
      <c r="O12" s="38"/>
      <c r="P12" s="29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x14ac:dyDescent="0.25">
      <c r="B13" s="5" t="s">
        <v>32</v>
      </c>
      <c r="C13" s="34">
        <v>1.026E-2</v>
      </c>
      <c r="E13" s="32"/>
      <c r="F13" s="2"/>
      <c r="G13" s="61"/>
      <c r="H13" s="28"/>
      <c r="I13" s="28"/>
      <c r="J13" s="39"/>
      <c r="K13" s="39"/>
      <c r="L13" s="39"/>
      <c r="M13" s="39"/>
      <c r="N13" s="39"/>
      <c r="O13" s="38"/>
      <c r="P13" s="29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x14ac:dyDescent="0.25">
      <c r="B14" s="5" t="s">
        <v>48</v>
      </c>
      <c r="C14" s="31">
        <v>3</v>
      </c>
      <c r="E14" s="32"/>
      <c r="F14" s="2"/>
      <c r="G14" s="61"/>
      <c r="H14" s="38"/>
      <c r="I14" s="38"/>
      <c r="J14" s="39"/>
      <c r="K14" s="39"/>
      <c r="L14" s="39"/>
      <c r="M14" s="39"/>
      <c r="N14" s="39"/>
      <c r="O14" s="3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x14ac:dyDescent="0.25">
      <c r="C15" s="13"/>
      <c r="E15" s="32"/>
      <c r="F15" s="32"/>
      <c r="G15" s="2"/>
      <c r="H15" s="4"/>
      <c r="I15" s="4"/>
      <c r="J15" s="59"/>
      <c r="K15" s="39"/>
      <c r="L15" s="39"/>
      <c r="M15" s="39"/>
      <c r="N15" s="39"/>
      <c r="O15" s="38"/>
      <c r="P15" s="28"/>
      <c r="Q15" s="28"/>
      <c r="R15" s="28"/>
      <c r="S15" s="28"/>
      <c r="T15" s="28"/>
    </row>
    <row r="16" spans="1:26" ht="15.6" x14ac:dyDescent="0.3">
      <c r="B16" s="35" t="s">
        <v>33</v>
      </c>
      <c r="C16" s="36">
        <f>+C9+C10</f>
        <v>43414</v>
      </c>
      <c r="E16" s="2"/>
      <c r="F16" s="32"/>
      <c r="G16" s="32"/>
      <c r="H16" s="4"/>
      <c r="I16" s="4"/>
      <c r="J16" s="4"/>
      <c r="K16" s="4"/>
      <c r="L16" s="4"/>
      <c r="M16" s="4"/>
      <c r="N16" s="4"/>
      <c r="O16" s="2"/>
    </row>
    <row r="17" spans="1:17" ht="15.6" x14ac:dyDescent="0.3">
      <c r="B17" s="35" t="s">
        <v>26</v>
      </c>
      <c r="C17" s="36">
        <f>+EDATE(C16,C11-1)</f>
        <v>45209</v>
      </c>
      <c r="E17" s="2"/>
      <c r="F17" s="2"/>
      <c r="H17" s="4"/>
      <c r="I17" s="4"/>
      <c r="J17" s="4"/>
      <c r="K17" s="4"/>
      <c r="L17" s="4"/>
      <c r="M17" s="4"/>
      <c r="N17" s="4"/>
      <c r="O17" s="2"/>
    </row>
    <row r="18" spans="1:17" ht="16.2" thickBot="1" x14ac:dyDescent="0.35">
      <c r="B18" s="35" t="s">
        <v>31</v>
      </c>
      <c r="C18" s="43">
        <f>+Calculos!O3</f>
        <v>0.13987472653388977</v>
      </c>
      <c r="E18" s="2"/>
      <c r="F18" s="2"/>
      <c r="H18" s="4"/>
      <c r="I18" s="4"/>
      <c r="J18" s="4"/>
      <c r="K18" s="4"/>
      <c r="L18" s="4"/>
      <c r="M18" s="4"/>
      <c r="N18" s="4"/>
      <c r="O18" s="2"/>
    </row>
    <row r="19" spans="1:17" ht="15.6" x14ac:dyDescent="0.3">
      <c r="B19" s="35" t="s">
        <v>20</v>
      </c>
      <c r="C19" s="37">
        <f>Calculos!I6/Calculos!F4+C14</f>
        <v>1041.9142245595167</v>
      </c>
      <c r="E19" s="147" t="s">
        <v>11</v>
      </c>
      <c r="F19" s="148"/>
      <c r="G19" s="148"/>
      <c r="H19" s="148"/>
      <c r="I19" s="149"/>
      <c r="J19" s="145" t="s">
        <v>12</v>
      </c>
      <c r="K19" s="145"/>
      <c r="L19" s="145"/>
      <c r="M19" s="145"/>
      <c r="N19" s="146"/>
    </row>
    <row r="20" spans="1:17" ht="13.8" thickBot="1" x14ac:dyDescent="0.3">
      <c r="E20" s="19"/>
      <c r="F20" s="20"/>
      <c r="G20" s="20"/>
      <c r="H20" s="20"/>
      <c r="I20" s="21"/>
      <c r="J20" s="20"/>
      <c r="K20" s="20"/>
      <c r="L20" s="20"/>
      <c r="M20" s="20"/>
      <c r="N20" s="21"/>
      <c r="O20" s="2"/>
    </row>
    <row r="21" spans="1:17" ht="13.8" thickBot="1" x14ac:dyDescent="0.3">
      <c r="E21" s="6"/>
      <c r="F21" s="7">
        <f>SUM(F23:F142)</f>
        <v>1380.2399999999998</v>
      </c>
      <c r="G21" s="7">
        <f>SUM(G23:G142)</f>
        <v>44999.999999999935</v>
      </c>
      <c r="H21" s="7">
        <f>SUM(H23:H142)</f>
        <v>15930.320000000067</v>
      </c>
      <c r="I21" s="8"/>
      <c r="J21" s="26"/>
      <c r="K21" s="7">
        <f>SUM(K23:K142)</f>
        <v>180</v>
      </c>
      <c r="L21" s="7">
        <f>SUM(L23:L142)</f>
        <v>1380.2399999999998</v>
      </c>
      <c r="M21" s="7">
        <f>SUM(M23:M142)</f>
        <v>44999.999999999935</v>
      </c>
      <c r="N21" s="8">
        <f>SUM(N23:N142)</f>
        <v>15930.32000000006</v>
      </c>
      <c r="O21" s="23">
        <f>SUM(O23:O70)</f>
        <v>50011.680000000051</v>
      </c>
      <c r="P21" s="29"/>
    </row>
    <row r="22" spans="1:17" x14ac:dyDescent="0.25">
      <c r="B22" s="9" t="s">
        <v>9</v>
      </c>
      <c r="C22" s="10" t="s">
        <v>22</v>
      </c>
      <c r="D22" s="16" t="s">
        <v>3</v>
      </c>
      <c r="E22" s="22" t="s">
        <v>0</v>
      </c>
      <c r="F22" s="30" t="s">
        <v>24</v>
      </c>
      <c r="G22" s="11" t="s">
        <v>25</v>
      </c>
      <c r="H22" s="11" t="s">
        <v>1</v>
      </c>
      <c r="I22" s="12" t="s">
        <v>6</v>
      </c>
      <c r="J22" s="27" t="s">
        <v>0</v>
      </c>
      <c r="K22" s="30" t="s">
        <v>23</v>
      </c>
      <c r="L22" s="30" t="s">
        <v>24</v>
      </c>
      <c r="M22" s="11" t="s">
        <v>25</v>
      </c>
      <c r="N22" s="12" t="s">
        <v>1</v>
      </c>
      <c r="O22" s="24" t="s">
        <v>2</v>
      </c>
      <c r="P22" s="29"/>
    </row>
    <row r="23" spans="1:17" x14ac:dyDescent="0.25">
      <c r="A23" s="62"/>
      <c r="B23" s="64">
        <v>1</v>
      </c>
      <c r="C23" s="3">
        <f>+Calculos!B5</f>
        <v>43414</v>
      </c>
      <c r="D23" s="17">
        <f>+C23-C9</f>
        <v>68</v>
      </c>
      <c r="E23" s="65">
        <f>+Calculos!I6</f>
        <v>45000</v>
      </c>
      <c r="F23" s="66">
        <f>+Calculos!L6</f>
        <v>87.21</v>
      </c>
      <c r="G23" s="67">
        <f>+Calculos!J6</f>
        <v>-60.679999999999907</v>
      </c>
      <c r="H23" s="67">
        <f>+Calculos!K6</f>
        <v>1012.38</v>
      </c>
      <c r="I23" s="68">
        <f t="shared" ref="I23:I54" si="0">+SUM(F23:H23)</f>
        <v>1038.9100000000001</v>
      </c>
      <c r="J23" s="69">
        <f>Calculos!I6</f>
        <v>45000</v>
      </c>
      <c r="K23" s="67">
        <f t="shared" ref="K23:K54" si="1">IF(AND(J23&gt;0),$C$14,0)</f>
        <v>3</v>
      </c>
      <c r="L23" s="67">
        <f t="shared" ref="L23:L54" si="2">+F23</f>
        <v>87.21</v>
      </c>
      <c r="M23" s="70">
        <f>MAX(I23-N23-L23,0)</f>
        <v>4.2632564145606011E-14</v>
      </c>
      <c r="N23" s="68">
        <f>+MIN(H23+IF(G23&lt;0,G23,0),$C$19-L23)</f>
        <v>951.7</v>
      </c>
      <c r="O23" s="71">
        <f t="shared" ref="O23:O54" si="3">+SUM(K23:N23)</f>
        <v>1041.9100000000001</v>
      </c>
      <c r="P23" s="60"/>
      <c r="Q23" s="13"/>
    </row>
    <row r="24" spans="1:17" x14ac:dyDescent="0.25">
      <c r="A24" s="62"/>
      <c r="B24" s="64">
        <v>2</v>
      </c>
      <c r="C24" s="3">
        <f>+Calculos!B6</f>
        <v>43444</v>
      </c>
      <c r="D24" s="17">
        <f t="shared" ref="D24:D55" si="4">+C24-C23</f>
        <v>30</v>
      </c>
      <c r="E24" s="65">
        <f>+Calculos!I7</f>
        <v>45060.679999999993</v>
      </c>
      <c r="F24" s="66">
        <f>+Calculos!L7</f>
        <v>38.53</v>
      </c>
      <c r="G24" s="67">
        <f>+Calculos!J7</f>
        <v>555.92000000000007</v>
      </c>
      <c r="H24" s="67">
        <f>+Calculos!K7</f>
        <v>444.46000000000004</v>
      </c>
      <c r="I24" s="68">
        <f t="shared" si="0"/>
        <v>1038.9100000000001</v>
      </c>
      <c r="J24" s="69">
        <f t="shared" ref="J24:J55" si="5">IF(AND(J23-M23&lt;0.05,J23-M23&gt;-0.05),0,J23-M23)</f>
        <v>45000</v>
      </c>
      <c r="K24" s="67">
        <f t="shared" si="1"/>
        <v>3</v>
      </c>
      <c r="L24" s="67">
        <f t="shared" si="2"/>
        <v>38.53</v>
      </c>
      <c r="M24" s="70">
        <f t="shared" ref="M24:M55" si="6">+I24-N24-L24</f>
        <v>495.24000000000706</v>
      </c>
      <c r="N24" s="68">
        <f>+MIN(H24+MAX(0,E24-Calculos!$I$6),$C$19-L24+MAX(0,E24-Calculos!$I$6),I24-F24)</f>
        <v>505.13999999999305</v>
      </c>
      <c r="O24" s="71">
        <f t="shared" si="3"/>
        <v>1041.9100000000001</v>
      </c>
      <c r="P24" s="60"/>
      <c r="Q24" s="13"/>
    </row>
    <row r="25" spans="1:17" x14ac:dyDescent="0.25">
      <c r="A25" s="62"/>
      <c r="B25" s="64">
        <v>3</v>
      </c>
      <c r="C25" s="3">
        <f>+Calculos!B7</f>
        <v>43475</v>
      </c>
      <c r="D25" s="17">
        <f t="shared" si="4"/>
        <v>31</v>
      </c>
      <c r="E25" s="65">
        <f>+Calculos!I8</f>
        <v>44504.759999999987</v>
      </c>
      <c r="F25" s="66">
        <f>+Calculos!L8</f>
        <v>39.32</v>
      </c>
      <c r="G25" s="67">
        <f>+Calculos!J8</f>
        <v>545.91</v>
      </c>
      <c r="H25" s="67">
        <f>+Calculos!K8</f>
        <v>453.68000000000006</v>
      </c>
      <c r="I25" s="68">
        <f t="shared" si="0"/>
        <v>1038.9100000000001</v>
      </c>
      <c r="J25" s="69">
        <f t="shared" si="5"/>
        <v>44504.759999999995</v>
      </c>
      <c r="K25" s="72">
        <f t="shared" si="1"/>
        <v>3</v>
      </c>
      <c r="L25" s="72">
        <f t="shared" si="2"/>
        <v>39.32</v>
      </c>
      <c r="M25" s="73">
        <f t="shared" si="6"/>
        <v>545.91</v>
      </c>
      <c r="N25" s="74">
        <f>+MIN(H25+MAX(0,E25-Calculos!$I$6),$C$19-L25+MAX(0,E25-Calculos!$I$6),I25-F25)</f>
        <v>453.68000000000006</v>
      </c>
      <c r="O25" s="75">
        <f t="shared" si="3"/>
        <v>1041.9100000000001</v>
      </c>
      <c r="P25" s="60"/>
      <c r="Q25" s="13"/>
    </row>
    <row r="26" spans="1:17" x14ac:dyDescent="0.25">
      <c r="A26" s="62"/>
      <c r="B26" s="64">
        <v>4</v>
      </c>
      <c r="C26" s="3">
        <f>+Calculos!B8</f>
        <v>43506</v>
      </c>
      <c r="D26" s="17">
        <f t="shared" si="4"/>
        <v>31</v>
      </c>
      <c r="E26" s="65">
        <f>+Calculos!I9</f>
        <v>43958.849999999984</v>
      </c>
      <c r="F26" s="66">
        <f>+Calculos!L9</f>
        <v>38.840000000000003</v>
      </c>
      <c r="G26" s="67">
        <f>+Calculos!J9</f>
        <v>551.95000000000005</v>
      </c>
      <c r="H26" s="67">
        <f>+Calculos!K9</f>
        <v>448.12</v>
      </c>
      <c r="I26" s="68">
        <f t="shared" si="0"/>
        <v>1038.9100000000001</v>
      </c>
      <c r="J26" s="69">
        <f t="shared" si="5"/>
        <v>43958.849999999991</v>
      </c>
      <c r="K26" s="67">
        <f t="shared" si="1"/>
        <v>3</v>
      </c>
      <c r="L26" s="67">
        <f t="shared" si="2"/>
        <v>38.840000000000003</v>
      </c>
      <c r="M26" s="70">
        <f t="shared" si="6"/>
        <v>551.95000000000005</v>
      </c>
      <c r="N26" s="68">
        <f>+MIN(H26+MAX(0,E26-Calculos!$I$6),$C$19-L26+MAX(0,E26-Calculos!$I$6),I26-F26)</f>
        <v>448.12</v>
      </c>
      <c r="O26" s="71">
        <f t="shared" si="3"/>
        <v>1041.9100000000001</v>
      </c>
      <c r="P26" s="60"/>
    </row>
    <row r="27" spans="1:17" x14ac:dyDescent="0.25">
      <c r="A27" s="62"/>
      <c r="B27" s="64">
        <v>5</v>
      </c>
      <c r="C27" s="3">
        <f>+Calculos!B9</f>
        <v>43534</v>
      </c>
      <c r="D27" s="17">
        <f t="shared" si="4"/>
        <v>28</v>
      </c>
      <c r="E27" s="65">
        <f>+Calculos!I10</f>
        <v>43406.89999999998</v>
      </c>
      <c r="F27" s="66">
        <f>+Calculos!L10</f>
        <v>34.64</v>
      </c>
      <c r="G27" s="67">
        <f>+Calculos!J10</f>
        <v>604.80000000000007</v>
      </c>
      <c r="H27" s="67">
        <f>+Calculos!K10</f>
        <v>399.47</v>
      </c>
      <c r="I27" s="68">
        <f t="shared" si="0"/>
        <v>1038.9100000000001</v>
      </c>
      <c r="J27" s="69">
        <f t="shared" si="5"/>
        <v>43406.899999999994</v>
      </c>
      <c r="K27" s="67">
        <f t="shared" si="1"/>
        <v>3</v>
      </c>
      <c r="L27" s="67">
        <f t="shared" si="2"/>
        <v>34.64</v>
      </c>
      <c r="M27" s="70">
        <f t="shared" si="6"/>
        <v>604.80000000000007</v>
      </c>
      <c r="N27" s="68">
        <f>+MIN(H27+MAX(0,E27-Calculos!$I$6),$C$19-L27+MAX(0,E27-Calculos!$I$6),I27-F27)</f>
        <v>399.47</v>
      </c>
      <c r="O27" s="71">
        <f t="shared" si="3"/>
        <v>1041.9100000000001</v>
      </c>
      <c r="P27" s="60"/>
    </row>
    <row r="28" spans="1:17" x14ac:dyDescent="0.25">
      <c r="A28" s="62"/>
      <c r="B28" s="64">
        <v>6</v>
      </c>
      <c r="C28" s="3">
        <f>+Calculos!B10</f>
        <v>43565</v>
      </c>
      <c r="D28" s="17">
        <f t="shared" si="4"/>
        <v>31</v>
      </c>
      <c r="E28" s="65">
        <f>+Calculos!I11</f>
        <v>42802.099999999977</v>
      </c>
      <c r="F28" s="66">
        <f>+Calculos!L11</f>
        <v>37.82</v>
      </c>
      <c r="G28" s="67">
        <f>+Calculos!J11</f>
        <v>564.7600000000001</v>
      </c>
      <c r="H28" s="67">
        <f>+Calculos!K11</f>
        <v>436.32999999999993</v>
      </c>
      <c r="I28" s="68">
        <f t="shared" si="0"/>
        <v>1038.9100000000001</v>
      </c>
      <c r="J28" s="69">
        <f t="shared" si="5"/>
        <v>42802.099999999991</v>
      </c>
      <c r="K28" s="67">
        <f t="shared" si="1"/>
        <v>3</v>
      </c>
      <c r="L28" s="67">
        <f t="shared" si="2"/>
        <v>37.82</v>
      </c>
      <c r="M28" s="70">
        <f t="shared" si="6"/>
        <v>564.7600000000001</v>
      </c>
      <c r="N28" s="68">
        <f>+MIN(H28+MAX(0,E28-Calculos!$I$6),$C$19-L28+MAX(0,E28-Calculos!$I$6),I28-F28)</f>
        <v>436.32999999999993</v>
      </c>
      <c r="O28" s="71">
        <f t="shared" si="3"/>
        <v>1041.9100000000001</v>
      </c>
      <c r="P28" s="60"/>
    </row>
    <row r="29" spans="1:17" x14ac:dyDescent="0.25">
      <c r="A29" s="62"/>
      <c r="B29" s="64">
        <v>7</v>
      </c>
      <c r="C29" s="3">
        <f>+Calculos!B11</f>
        <v>43595</v>
      </c>
      <c r="D29" s="17">
        <f t="shared" si="4"/>
        <v>30</v>
      </c>
      <c r="E29" s="65">
        <f>+Calculos!I12</f>
        <v>42237.339999999975</v>
      </c>
      <c r="F29" s="66">
        <f>+Calculos!L12</f>
        <v>36.11</v>
      </c>
      <c r="G29" s="67">
        <f>+Calculos!J12</f>
        <v>586.19000000000005</v>
      </c>
      <c r="H29" s="67">
        <f>+Calculos!K12</f>
        <v>416.61</v>
      </c>
      <c r="I29" s="68">
        <f t="shared" si="0"/>
        <v>1038.9100000000001</v>
      </c>
      <c r="J29" s="69">
        <f t="shared" si="5"/>
        <v>42237.339999999989</v>
      </c>
      <c r="K29" s="67">
        <f t="shared" si="1"/>
        <v>3</v>
      </c>
      <c r="L29" s="67">
        <f t="shared" si="2"/>
        <v>36.11</v>
      </c>
      <c r="M29" s="70">
        <f t="shared" si="6"/>
        <v>586.19000000000005</v>
      </c>
      <c r="N29" s="68">
        <f>+MIN(H29+MAX(0,E29-Calculos!$I$6),$C$19-L29+MAX(0,E29-Calculos!$I$6),I29-F29)</f>
        <v>416.61</v>
      </c>
      <c r="O29" s="71">
        <f t="shared" si="3"/>
        <v>1041.9100000000001</v>
      </c>
      <c r="P29" s="60"/>
    </row>
    <row r="30" spans="1:17" x14ac:dyDescent="0.25">
      <c r="A30" s="62"/>
      <c r="B30" s="64">
        <v>8</v>
      </c>
      <c r="C30" s="3">
        <f>+Calculos!B12</f>
        <v>43626</v>
      </c>
      <c r="D30" s="17">
        <f t="shared" si="4"/>
        <v>31</v>
      </c>
      <c r="E30" s="65">
        <f>+Calculos!I13</f>
        <v>41651.149999999972</v>
      </c>
      <c r="F30" s="66">
        <f>+Calculos!L13</f>
        <v>36.799999999999997</v>
      </c>
      <c r="G30" s="67">
        <f>+Calculos!J13</f>
        <v>577.52000000000021</v>
      </c>
      <c r="H30" s="67">
        <f>+Calculos!K13</f>
        <v>424.58999999999992</v>
      </c>
      <c r="I30" s="68">
        <f t="shared" si="0"/>
        <v>1038.9100000000001</v>
      </c>
      <c r="J30" s="69">
        <f t="shared" si="5"/>
        <v>41651.149999999987</v>
      </c>
      <c r="K30" s="67">
        <f t="shared" si="1"/>
        <v>3</v>
      </c>
      <c r="L30" s="67">
        <f t="shared" si="2"/>
        <v>36.799999999999997</v>
      </c>
      <c r="M30" s="70">
        <f t="shared" si="6"/>
        <v>577.52000000000021</v>
      </c>
      <c r="N30" s="68">
        <f>+MIN(H30+MAX(0,E30-Calculos!$I$6),$C$19-L30+MAX(0,E30-Calculos!$I$6),I30-F30)</f>
        <v>424.58999999999992</v>
      </c>
      <c r="O30" s="71">
        <f t="shared" si="3"/>
        <v>1041.9100000000001</v>
      </c>
      <c r="P30" s="60"/>
    </row>
    <row r="31" spans="1:17" x14ac:dyDescent="0.25">
      <c r="A31" s="62"/>
      <c r="B31" s="64">
        <v>9</v>
      </c>
      <c r="C31" s="3">
        <f>+Calculos!B13</f>
        <v>43656</v>
      </c>
      <c r="D31" s="17">
        <f t="shared" si="4"/>
        <v>30</v>
      </c>
      <c r="E31" s="65">
        <f>+Calculos!I14</f>
        <v>41073.629999999968</v>
      </c>
      <c r="F31" s="66">
        <f>+Calculos!L14</f>
        <v>35.119999999999997</v>
      </c>
      <c r="G31" s="67">
        <f>+Calculos!J14</f>
        <v>598.66000000000008</v>
      </c>
      <c r="H31" s="67">
        <f>+Calculos!K14</f>
        <v>405.13</v>
      </c>
      <c r="I31" s="68">
        <f t="shared" si="0"/>
        <v>1038.9100000000001</v>
      </c>
      <c r="J31" s="69">
        <f t="shared" si="5"/>
        <v>41073.62999999999</v>
      </c>
      <c r="K31" s="67">
        <f t="shared" si="1"/>
        <v>3</v>
      </c>
      <c r="L31" s="67">
        <f t="shared" si="2"/>
        <v>35.119999999999997</v>
      </c>
      <c r="M31" s="70">
        <f t="shared" si="6"/>
        <v>598.66000000000008</v>
      </c>
      <c r="N31" s="68">
        <f>+MIN(H31+MAX(0,E31-Calculos!$I$6),$C$19-L31+MAX(0,E31-Calculos!$I$6),I31-F31)</f>
        <v>405.13</v>
      </c>
      <c r="O31" s="71">
        <f t="shared" si="3"/>
        <v>1041.9100000000001</v>
      </c>
      <c r="P31" s="60"/>
    </row>
    <row r="32" spans="1:17" x14ac:dyDescent="0.25">
      <c r="A32" s="62"/>
      <c r="B32" s="64">
        <v>10</v>
      </c>
      <c r="C32" s="3">
        <f>+Calculos!B14</f>
        <v>43687</v>
      </c>
      <c r="D32" s="17">
        <f t="shared" si="4"/>
        <v>31</v>
      </c>
      <c r="E32" s="65">
        <f>+Calculos!I15</f>
        <v>40474.969999999965</v>
      </c>
      <c r="F32" s="66">
        <f>+Calculos!L15</f>
        <v>35.76</v>
      </c>
      <c r="G32" s="67">
        <f>+Calculos!J15</f>
        <v>590.55000000000007</v>
      </c>
      <c r="H32" s="67">
        <f>+Calculos!K15</f>
        <v>412.6</v>
      </c>
      <c r="I32" s="68">
        <f t="shared" si="0"/>
        <v>1038.9100000000001</v>
      </c>
      <c r="J32" s="69">
        <f t="shared" si="5"/>
        <v>40474.969999999987</v>
      </c>
      <c r="K32" s="67">
        <f t="shared" si="1"/>
        <v>3</v>
      </c>
      <c r="L32" s="67">
        <f t="shared" si="2"/>
        <v>35.76</v>
      </c>
      <c r="M32" s="70">
        <f t="shared" si="6"/>
        <v>590.55000000000007</v>
      </c>
      <c r="N32" s="68">
        <f>+MIN(H32+MAX(0,E32-Calculos!$I$6),$C$19-L32+MAX(0,E32-Calculos!$I$6),I32-F32)</f>
        <v>412.6</v>
      </c>
      <c r="O32" s="71">
        <f t="shared" si="3"/>
        <v>1041.9100000000001</v>
      </c>
      <c r="P32" s="60"/>
    </row>
    <row r="33" spans="1:16" x14ac:dyDescent="0.25">
      <c r="A33" s="62"/>
      <c r="B33" s="64">
        <v>11</v>
      </c>
      <c r="C33" s="3">
        <f>+Calculos!B15</f>
        <v>43718</v>
      </c>
      <c r="D33" s="17">
        <f t="shared" si="4"/>
        <v>31</v>
      </c>
      <c r="E33" s="65">
        <f>+Calculos!I16</f>
        <v>39884.419999999962</v>
      </c>
      <c r="F33" s="66">
        <f>+Calculos!L16</f>
        <v>35.24</v>
      </c>
      <c r="G33" s="67">
        <f>+Calculos!J16</f>
        <v>597.09000000000015</v>
      </c>
      <c r="H33" s="67">
        <f>+Calculos!K16</f>
        <v>406.57999999999993</v>
      </c>
      <c r="I33" s="68">
        <f t="shared" si="0"/>
        <v>1038.9100000000001</v>
      </c>
      <c r="J33" s="69">
        <f t="shared" si="5"/>
        <v>39884.419999999984</v>
      </c>
      <c r="K33" s="67">
        <f t="shared" si="1"/>
        <v>3</v>
      </c>
      <c r="L33" s="67">
        <f t="shared" si="2"/>
        <v>35.24</v>
      </c>
      <c r="M33" s="70">
        <f t="shared" si="6"/>
        <v>597.09000000000015</v>
      </c>
      <c r="N33" s="68">
        <f>+MIN(H33+MAX(0,E33-Calculos!$I$6),$C$19-L33+MAX(0,E33-Calculos!$I$6),I33-F33)</f>
        <v>406.57999999999993</v>
      </c>
      <c r="O33" s="71">
        <f t="shared" si="3"/>
        <v>1041.9100000000001</v>
      </c>
      <c r="P33" s="60"/>
    </row>
    <row r="34" spans="1:16" x14ac:dyDescent="0.25">
      <c r="A34" s="62"/>
      <c r="B34" s="64">
        <v>12</v>
      </c>
      <c r="C34" s="3">
        <f>+Calculos!B16</f>
        <v>43748</v>
      </c>
      <c r="D34" s="17">
        <f t="shared" si="4"/>
        <v>30</v>
      </c>
      <c r="E34" s="65">
        <f>+Calculos!I17</f>
        <v>39287.329999999958</v>
      </c>
      <c r="F34" s="66">
        <f>+Calculos!L17</f>
        <v>33.590000000000003</v>
      </c>
      <c r="G34" s="67">
        <f>+Calculos!J17</f>
        <v>617.81000000000006</v>
      </c>
      <c r="H34" s="67">
        <f>+Calculos!K17</f>
        <v>387.51</v>
      </c>
      <c r="I34" s="68">
        <f t="shared" si="0"/>
        <v>1038.9100000000001</v>
      </c>
      <c r="J34" s="69">
        <f t="shared" si="5"/>
        <v>39287.329999999987</v>
      </c>
      <c r="K34" s="67">
        <f t="shared" si="1"/>
        <v>3</v>
      </c>
      <c r="L34" s="67">
        <f t="shared" si="2"/>
        <v>33.590000000000003</v>
      </c>
      <c r="M34" s="70">
        <f t="shared" si="6"/>
        <v>617.81000000000006</v>
      </c>
      <c r="N34" s="68">
        <f>+MIN(H34+MAX(0,E34-Calculos!$I$6),$C$19-L34+MAX(0,E34-Calculos!$I$6),I34-F34)</f>
        <v>387.51</v>
      </c>
      <c r="O34" s="71">
        <f t="shared" si="3"/>
        <v>1041.9100000000001</v>
      </c>
      <c r="P34" s="60"/>
    </row>
    <row r="35" spans="1:16" x14ac:dyDescent="0.25">
      <c r="A35" s="62"/>
      <c r="B35" s="64">
        <v>13</v>
      </c>
      <c r="C35" s="3">
        <f>+Calculos!B17</f>
        <v>43779</v>
      </c>
      <c r="D35" s="17">
        <f t="shared" si="4"/>
        <v>31</v>
      </c>
      <c r="E35" s="65">
        <f>+Calculos!I18</f>
        <v>38669.519999999953</v>
      </c>
      <c r="F35" s="66">
        <f>+Calculos!L18</f>
        <v>34.159999999999997</v>
      </c>
      <c r="G35" s="67">
        <f>+Calculos!J18</f>
        <v>610.55000000000007</v>
      </c>
      <c r="H35" s="67">
        <f>+Calculos!K18</f>
        <v>394.20000000000005</v>
      </c>
      <c r="I35" s="68">
        <f t="shared" si="0"/>
        <v>1038.9100000000001</v>
      </c>
      <c r="J35" s="69">
        <f t="shared" si="5"/>
        <v>38669.51999999999</v>
      </c>
      <c r="K35" s="67">
        <f t="shared" si="1"/>
        <v>3</v>
      </c>
      <c r="L35" s="67">
        <f t="shared" si="2"/>
        <v>34.159999999999997</v>
      </c>
      <c r="M35" s="70">
        <f t="shared" si="6"/>
        <v>610.55000000000007</v>
      </c>
      <c r="N35" s="68">
        <f>+MIN(H35+MAX(0,E35-Calculos!$I$6),$C$19-L35+MAX(0,E35-Calculos!$I$6),I35-F35)</f>
        <v>394.20000000000005</v>
      </c>
      <c r="O35" s="71">
        <f t="shared" si="3"/>
        <v>1041.9100000000001</v>
      </c>
      <c r="P35" s="60"/>
    </row>
    <row r="36" spans="1:16" x14ac:dyDescent="0.25">
      <c r="A36" s="62"/>
      <c r="B36" s="64">
        <v>14</v>
      </c>
      <c r="C36" s="3">
        <f>+Calculos!B18</f>
        <v>43809</v>
      </c>
      <c r="D36" s="17">
        <f t="shared" si="4"/>
        <v>30</v>
      </c>
      <c r="E36" s="65">
        <f>+Calculos!I19</f>
        <v>38058.96999999995</v>
      </c>
      <c r="F36" s="66">
        <f>+Calculos!L19</f>
        <v>32.54</v>
      </c>
      <c r="G36" s="67">
        <f>+Calculos!J19</f>
        <v>630.97000000000014</v>
      </c>
      <c r="H36" s="67">
        <f>+Calculos!K19</f>
        <v>375.4</v>
      </c>
      <c r="I36" s="68">
        <f t="shared" si="0"/>
        <v>1038.9100000000001</v>
      </c>
      <c r="J36" s="69">
        <f t="shared" si="5"/>
        <v>38058.969999999987</v>
      </c>
      <c r="K36" s="67">
        <f t="shared" si="1"/>
        <v>3</v>
      </c>
      <c r="L36" s="67">
        <f t="shared" si="2"/>
        <v>32.54</v>
      </c>
      <c r="M36" s="70">
        <f t="shared" si="6"/>
        <v>630.97000000000014</v>
      </c>
      <c r="N36" s="68">
        <f>+MIN(H36+MAX(0,E36-Calculos!$I$6),$C$19-L36+MAX(0,E36-Calculos!$I$6),I36-F36)</f>
        <v>375.4</v>
      </c>
      <c r="O36" s="71">
        <f t="shared" si="3"/>
        <v>1041.9100000000001</v>
      </c>
      <c r="P36" s="60"/>
    </row>
    <row r="37" spans="1:16" x14ac:dyDescent="0.25">
      <c r="A37" s="62"/>
      <c r="B37" s="64">
        <v>15</v>
      </c>
      <c r="C37" s="3">
        <f>+Calculos!B19</f>
        <v>43840</v>
      </c>
      <c r="D37" s="17">
        <f t="shared" si="4"/>
        <v>31</v>
      </c>
      <c r="E37" s="65">
        <f>+Calculos!I20</f>
        <v>37427.999999999949</v>
      </c>
      <c r="F37" s="66">
        <f>+Calculos!L20</f>
        <v>33.07</v>
      </c>
      <c r="G37" s="67">
        <f>+Calculos!J20</f>
        <v>624.30000000000007</v>
      </c>
      <c r="H37" s="67">
        <f>+Calculos!K20</f>
        <v>381.53999999999996</v>
      </c>
      <c r="I37" s="68">
        <f t="shared" si="0"/>
        <v>1038.9100000000001</v>
      </c>
      <c r="J37" s="69">
        <f t="shared" si="5"/>
        <v>37427.999999999985</v>
      </c>
      <c r="K37" s="67">
        <f t="shared" si="1"/>
        <v>3</v>
      </c>
      <c r="L37" s="67">
        <f t="shared" si="2"/>
        <v>33.07</v>
      </c>
      <c r="M37" s="70">
        <f t="shared" si="6"/>
        <v>624.30000000000007</v>
      </c>
      <c r="N37" s="68">
        <f>+MIN(H37+MAX(0,E37-Calculos!$I$6),$C$19-L37+MAX(0,E37-Calculos!$I$6),I37-F37)</f>
        <v>381.53999999999996</v>
      </c>
      <c r="O37" s="71">
        <f t="shared" si="3"/>
        <v>1041.9100000000001</v>
      </c>
      <c r="P37" s="60"/>
    </row>
    <row r="38" spans="1:16" x14ac:dyDescent="0.25">
      <c r="A38" s="62"/>
      <c r="B38" s="64">
        <v>16</v>
      </c>
      <c r="C38" s="3">
        <f>+Calculos!B20</f>
        <v>43871</v>
      </c>
      <c r="D38" s="17">
        <f t="shared" si="4"/>
        <v>31</v>
      </c>
      <c r="E38" s="65">
        <f>+Calculos!I21</f>
        <v>36803.699999999946</v>
      </c>
      <c r="F38" s="66">
        <f>+Calculos!L21</f>
        <v>32.520000000000003</v>
      </c>
      <c r="G38" s="67">
        <f>+Calculos!J21</f>
        <v>631.21</v>
      </c>
      <c r="H38" s="67">
        <f>+Calculos!K21</f>
        <v>375.18000000000006</v>
      </c>
      <c r="I38" s="68">
        <f t="shared" si="0"/>
        <v>1038.9100000000001</v>
      </c>
      <c r="J38" s="69">
        <f t="shared" si="5"/>
        <v>36803.699999999983</v>
      </c>
      <c r="K38" s="67">
        <f t="shared" si="1"/>
        <v>3</v>
      </c>
      <c r="L38" s="67">
        <f t="shared" si="2"/>
        <v>32.520000000000003</v>
      </c>
      <c r="M38" s="70">
        <f t="shared" si="6"/>
        <v>631.21</v>
      </c>
      <c r="N38" s="68">
        <f>+MIN(H38+MAX(0,E38-Calculos!$I$6),$C$19-L38+MAX(0,E38-Calculos!$I$6),I38-F38)</f>
        <v>375.18000000000006</v>
      </c>
      <c r="O38" s="71">
        <f t="shared" si="3"/>
        <v>1041.9100000000001</v>
      </c>
      <c r="P38" s="60"/>
    </row>
    <row r="39" spans="1:16" x14ac:dyDescent="0.25">
      <c r="A39" s="62"/>
      <c r="B39" s="64">
        <v>17</v>
      </c>
      <c r="C39" s="3">
        <f>+Calculos!B21</f>
        <v>43900</v>
      </c>
      <c r="D39" s="17">
        <f t="shared" si="4"/>
        <v>29</v>
      </c>
      <c r="E39" s="65">
        <f>+Calculos!I22</f>
        <v>36172.48999999994</v>
      </c>
      <c r="F39" s="66">
        <f>+Calculos!L22</f>
        <v>29.9</v>
      </c>
      <c r="G39" s="67">
        <f>+Calculos!J22</f>
        <v>664.17000000000019</v>
      </c>
      <c r="H39" s="67">
        <f>+Calculos!K22</f>
        <v>344.83999999999992</v>
      </c>
      <c r="I39" s="68">
        <f t="shared" si="0"/>
        <v>1038.9100000000001</v>
      </c>
      <c r="J39" s="69">
        <f t="shared" si="5"/>
        <v>36172.489999999983</v>
      </c>
      <c r="K39" s="67">
        <f t="shared" si="1"/>
        <v>3</v>
      </c>
      <c r="L39" s="67">
        <f t="shared" si="2"/>
        <v>29.9</v>
      </c>
      <c r="M39" s="70">
        <f t="shared" si="6"/>
        <v>664.17000000000019</v>
      </c>
      <c r="N39" s="68">
        <f>+MIN(H39+MAX(0,E39-Calculos!$I$6),$C$19-L39+MAX(0,E39-Calculos!$I$6),I39-F39)</f>
        <v>344.83999999999992</v>
      </c>
      <c r="O39" s="71">
        <f t="shared" si="3"/>
        <v>1041.9100000000001</v>
      </c>
      <c r="P39" s="60"/>
    </row>
    <row r="40" spans="1:16" x14ac:dyDescent="0.25">
      <c r="A40" s="62"/>
      <c r="B40" s="64">
        <v>18</v>
      </c>
      <c r="C40" s="3">
        <f>+Calculos!B22</f>
        <v>43931</v>
      </c>
      <c r="D40" s="17">
        <f t="shared" si="4"/>
        <v>31</v>
      </c>
      <c r="E40" s="65">
        <f>+Calculos!I23</f>
        <v>35508.319999999934</v>
      </c>
      <c r="F40" s="66">
        <f>+Calculos!L23</f>
        <v>31.37</v>
      </c>
      <c r="G40" s="67">
        <f>+Calculos!J23</f>
        <v>645.57000000000005</v>
      </c>
      <c r="H40" s="67">
        <f>+Calculos!K23</f>
        <v>361.97</v>
      </c>
      <c r="I40" s="68">
        <f t="shared" si="0"/>
        <v>1038.9100000000001</v>
      </c>
      <c r="J40" s="69">
        <f t="shared" si="5"/>
        <v>35508.319999999985</v>
      </c>
      <c r="K40" s="67">
        <f t="shared" si="1"/>
        <v>3</v>
      </c>
      <c r="L40" s="67">
        <f t="shared" si="2"/>
        <v>31.37</v>
      </c>
      <c r="M40" s="70">
        <f t="shared" si="6"/>
        <v>645.57000000000005</v>
      </c>
      <c r="N40" s="68">
        <f>+MIN(H40+MAX(0,E40-Calculos!$I$6),$C$19-L40+MAX(0,E40-Calculos!$I$6),I40-F40)</f>
        <v>361.97</v>
      </c>
      <c r="O40" s="71">
        <f t="shared" si="3"/>
        <v>1041.9100000000001</v>
      </c>
      <c r="P40" s="60"/>
    </row>
    <row r="41" spans="1:16" x14ac:dyDescent="0.25">
      <c r="A41" s="62"/>
      <c r="B41" s="64">
        <v>19</v>
      </c>
      <c r="C41" s="3">
        <f>+Calculos!B23</f>
        <v>43961</v>
      </c>
      <c r="D41" s="17">
        <f t="shared" si="4"/>
        <v>30</v>
      </c>
      <c r="E41" s="65">
        <f>+Calculos!I24</f>
        <v>34862.749999999935</v>
      </c>
      <c r="F41" s="66">
        <f>+Calculos!L24</f>
        <v>29.81</v>
      </c>
      <c r="G41" s="67">
        <f>+Calculos!J24</f>
        <v>665.23000000000013</v>
      </c>
      <c r="H41" s="67">
        <f>+Calculos!K24</f>
        <v>343.87</v>
      </c>
      <c r="I41" s="68">
        <f t="shared" si="0"/>
        <v>1038.9100000000001</v>
      </c>
      <c r="J41" s="69">
        <f t="shared" si="5"/>
        <v>34862.749999999985</v>
      </c>
      <c r="K41" s="67">
        <f t="shared" si="1"/>
        <v>3</v>
      </c>
      <c r="L41" s="67">
        <f t="shared" si="2"/>
        <v>29.81</v>
      </c>
      <c r="M41" s="70">
        <f t="shared" si="6"/>
        <v>665.23000000000013</v>
      </c>
      <c r="N41" s="68">
        <f>+MIN(H41+MAX(0,E41-Calculos!$I$6),$C$19-L41+MAX(0,E41-Calculos!$I$6),I41-F41)</f>
        <v>343.87</v>
      </c>
      <c r="O41" s="71">
        <f t="shared" si="3"/>
        <v>1041.9100000000003</v>
      </c>
      <c r="P41" s="60"/>
    </row>
    <row r="42" spans="1:16" x14ac:dyDescent="0.25">
      <c r="A42" s="62"/>
      <c r="B42" s="64">
        <v>20</v>
      </c>
      <c r="C42" s="3">
        <f>+Calculos!B24</f>
        <v>43992</v>
      </c>
      <c r="D42" s="17">
        <f t="shared" si="4"/>
        <v>31</v>
      </c>
      <c r="E42" s="65">
        <f>+Calculos!I25</f>
        <v>34197.519999999931</v>
      </c>
      <c r="F42" s="66">
        <f>+Calculos!L25</f>
        <v>30.21</v>
      </c>
      <c r="G42" s="67">
        <f>+Calculos!J25</f>
        <v>660.09</v>
      </c>
      <c r="H42" s="67">
        <f>+Calculos!K25</f>
        <v>348.61</v>
      </c>
      <c r="I42" s="68">
        <f t="shared" si="0"/>
        <v>1038.9100000000001</v>
      </c>
      <c r="J42" s="69">
        <f t="shared" si="5"/>
        <v>34197.519999999982</v>
      </c>
      <c r="K42" s="67">
        <f t="shared" si="1"/>
        <v>3</v>
      </c>
      <c r="L42" s="67">
        <f t="shared" si="2"/>
        <v>30.21</v>
      </c>
      <c r="M42" s="70">
        <f t="shared" si="6"/>
        <v>660.09</v>
      </c>
      <c r="N42" s="68">
        <f>+MIN(H42+MAX(0,E42-Calculos!$I$6),$C$19-L42+MAX(0,E42-Calculos!$I$6),I42-F42)</f>
        <v>348.61</v>
      </c>
      <c r="O42" s="71">
        <f t="shared" si="3"/>
        <v>1041.9100000000001</v>
      </c>
      <c r="P42" s="60"/>
    </row>
    <row r="43" spans="1:16" x14ac:dyDescent="0.25">
      <c r="A43" s="62"/>
      <c r="B43" s="64">
        <v>21</v>
      </c>
      <c r="C43" s="3">
        <f>+Calculos!B25</f>
        <v>44022</v>
      </c>
      <c r="D43" s="17">
        <f t="shared" si="4"/>
        <v>30</v>
      </c>
      <c r="E43" s="65">
        <f>+Calculos!I26</f>
        <v>33537.429999999928</v>
      </c>
      <c r="F43" s="66">
        <f>+Calculos!L26</f>
        <v>28.67</v>
      </c>
      <c r="G43" s="67">
        <f>+Calculos!J26</f>
        <v>679.44000000000017</v>
      </c>
      <c r="H43" s="67">
        <f>+Calculos!K26</f>
        <v>330.79999999999995</v>
      </c>
      <c r="I43" s="68">
        <f t="shared" si="0"/>
        <v>1038.9100000000001</v>
      </c>
      <c r="J43" s="69">
        <f t="shared" si="5"/>
        <v>33537.429999999986</v>
      </c>
      <c r="K43" s="67">
        <f t="shared" si="1"/>
        <v>3</v>
      </c>
      <c r="L43" s="67">
        <f t="shared" si="2"/>
        <v>28.67</v>
      </c>
      <c r="M43" s="70">
        <f t="shared" si="6"/>
        <v>679.44000000000017</v>
      </c>
      <c r="N43" s="68">
        <f>+MIN(H43+MAX(0,E43-Calculos!$I$6),$C$19-L43+MAX(0,E43-Calculos!$I$6),I43-F43)</f>
        <v>330.79999999999995</v>
      </c>
      <c r="O43" s="71">
        <f t="shared" si="3"/>
        <v>1041.9100000000001</v>
      </c>
      <c r="P43" s="60"/>
    </row>
    <row r="44" spans="1:16" x14ac:dyDescent="0.25">
      <c r="A44" s="62"/>
      <c r="B44" s="64">
        <v>22</v>
      </c>
      <c r="C44" s="3">
        <f>+Calculos!B26</f>
        <v>44053</v>
      </c>
      <c r="D44" s="17">
        <f t="shared" si="4"/>
        <v>31</v>
      </c>
      <c r="E44" s="65">
        <f>+Calculos!I27</f>
        <v>32857.989999999925</v>
      </c>
      <c r="F44" s="66">
        <f>+Calculos!L27</f>
        <v>29.03</v>
      </c>
      <c r="G44" s="67">
        <f>+Calculos!J27</f>
        <v>674.92000000000007</v>
      </c>
      <c r="H44" s="67">
        <f>+Calculos!K27</f>
        <v>334.96000000000004</v>
      </c>
      <c r="I44" s="68">
        <f t="shared" si="0"/>
        <v>1038.9100000000001</v>
      </c>
      <c r="J44" s="69">
        <f t="shared" si="5"/>
        <v>32857.989999999983</v>
      </c>
      <c r="K44" s="67">
        <f t="shared" si="1"/>
        <v>3</v>
      </c>
      <c r="L44" s="67">
        <f t="shared" si="2"/>
        <v>29.03</v>
      </c>
      <c r="M44" s="70">
        <f t="shared" si="6"/>
        <v>674.92000000000007</v>
      </c>
      <c r="N44" s="68">
        <f>+MIN(H44+MAX(0,E44-Calculos!$I$6),$C$19-L44+MAX(0,E44-Calculos!$I$6),I44-F44)</f>
        <v>334.96000000000004</v>
      </c>
      <c r="O44" s="71">
        <f t="shared" si="3"/>
        <v>1041.9100000000001</v>
      </c>
      <c r="P44" s="60"/>
    </row>
    <row r="45" spans="1:16" x14ac:dyDescent="0.25">
      <c r="A45" s="62"/>
      <c r="B45" s="64">
        <v>23</v>
      </c>
      <c r="C45" s="3">
        <f>+Calculos!B27</f>
        <v>44084</v>
      </c>
      <c r="D45" s="17">
        <f t="shared" si="4"/>
        <v>31</v>
      </c>
      <c r="E45" s="65">
        <f>+Calculos!I28</f>
        <v>32183.069999999923</v>
      </c>
      <c r="F45" s="66">
        <f>+Calculos!L28</f>
        <v>28.43</v>
      </c>
      <c r="G45" s="67">
        <f>+Calculos!J28</f>
        <v>682.4000000000002</v>
      </c>
      <c r="H45" s="67">
        <f>+Calculos!K28</f>
        <v>328.07999999999993</v>
      </c>
      <c r="I45" s="68">
        <f t="shared" si="0"/>
        <v>1038.9100000000001</v>
      </c>
      <c r="J45" s="69">
        <f t="shared" si="5"/>
        <v>32183.069999999985</v>
      </c>
      <c r="K45" s="67">
        <f t="shared" si="1"/>
        <v>3</v>
      </c>
      <c r="L45" s="67">
        <f t="shared" si="2"/>
        <v>28.43</v>
      </c>
      <c r="M45" s="70">
        <f t="shared" si="6"/>
        <v>682.4000000000002</v>
      </c>
      <c r="N45" s="68">
        <f>+MIN(H45+MAX(0,E45-Calculos!$I$6),$C$19-L45+MAX(0,E45-Calculos!$I$6),I45-F45)</f>
        <v>328.07999999999993</v>
      </c>
      <c r="O45" s="71">
        <f t="shared" si="3"/>
        <v>1041.9100000000001</v>
      </c>
      <c r="P45" s="60"/>
    </row>
    <row r="46" spans="1:16" x14ac:dyDescent="0.25">
      <c r="A46" s="62"/>
      <c r="B46" s="64">
        <v>24</v>
      </c>
      <c r="C46" s="3">
        <f>+Calculos!B28</f>
        <v>44114</v>
      </c>
      <c r="D46" s="17">
        <f t="shared" si="4"/>
        <v>30</v>
      </c>
      <c r="E46" s="65">
        <f>+Calculos!I29</f>
        <v>31500.669999999925</v>
      </c>
      <c r="F46" s="66">
        <f>+Calculos!L29</f>
        <v>26.93</v>
      </c>
      <c r="G46" s="67">
        <f>+Calculos!J29</f>
        <v>701.2700000000001</v>
      </c>
      <c r="H46" s="67">
        <f>+Calculos!K29</f>
        <v>310.71000000000004</v>
      </c>
      <c r="I46" s="68">
        <f t="shared" si="0"/>
        <v>1038.9100000000001</v>
      </c>
      <c r="J46" s="69">
        <f t="shared" si="5"/>
        <v>31500.669999999984</v>
      </c>
      <c r="K46" s="67">
        <f t="shared" si="1"/>
        <v>3</v>
      </c>
      <c r="L46" s="67">
        <f t="shared" si="2"/>
        <v>26.93</v>
      </c>
      <c r="M46" s="70">
        <f t="shared" si="6"/>
        <v>701.2700000000001</v>
      </c>
      <c r="N46" s="68">
        <f>+MIN(H46+MAX(0,E46-Calculos!$I$6),$C$19-L46+MAX(0,E46-Calculos!$I$6),I46-F46)</f>
        <v>310.71000000000004</v>
      </c>
      <c r="O46" s="71">
        <f t="shared" si="3"/>
        <v>1041.9100000000001</v>
      </c>
      <c r="P46" s="60"/>
    </row>
    <row r="47" spans="1:16" x14ac:dyDescent="0.25">
      <c r="A47" s="62"/>
      <c r="B47" s="64">
        <v>25</v>
      </c>
      <c r="C47" s="3">
        <f>+Calculos!B29</f>
        <v>44145</v>
      </c>
      <c r="D47" s="17">
        <f t="shared" si="4"/>
        <v>31</v>
      </c>
      <c r="E47" s="65">
        <f>+Calculos!I30</f>
        <v>30799.399999999925</v>
      </c>
      <c r="F47" s="66">
        <f>+Calculos!L30</f>
        <v>27.21</v>
      </c>
      <c r="G47" s="67">
        <f>+Calculos!J30</f>
        <v>697.73</v>
      </c>
      <c r="H47" s="67">
        <f>+Calculos!K30</f>
        <v>313.97000000000003</v>
      </c>
      <c r="I47" s="68">
        <f t="shared" si="0"/>
        <v>1038.9100000000001</v>
      </c>
      <c r="J47" s="69">
        <f t="shared" si="5"/>
        <v>30799.399999999983</v>
      </c>
      <c r="K47" s="67">
        <f t="shared" si="1"/>
        <v>3</v>
      </c>
      <c r="L47" s="67">
        <f t="shared" si="2"/>
        <v>27.21</v>
      </c>
      <c r="M47" s="70">
        <f t="shared" si="6"/>
        <v>697.73</v>
      </c>
      <c r="N47" s="68">
        <f>+MIN(H47+MAX(0,E47-Calculos!$I$6),$C$19-L47+MAX(0,E47-Calculos!$I$6),I47-F47)</f>
        <v>313.97000000000003</v>
      </c>
      <c r="O47" s="71">
        <f t="shared" si="3"/>
        <v>1041.9100000000001</v>
      </c>
      <c r="P47" s="60"/>
    </row>
    <row r="48" spans="1:16" x14ac:dyDescent="0.25">
      <c r="A48" s="62"/>
      <c r="B48" s="64">
        <v>26</v>
      </c>
      <c r="C48" s="3">
        <f>+Calculos!B30</f>
        <v>44175</v>
      </c>
      <c r="D48" s="17">
        <f t="shared" si="4"/>
        <v>30</v>
      </c>
      <c r="E48" s="65">
        <f>+Calculos!I31</f>
        <v>30101.669999999925</v>
      </c>
      <c r="F48" s="66">
        <f>+Calculos!L31</f>
        <v>25.74</v>
      </c>
      <c r="G48" s="67">
        <f>+Calculos!J31</f>
        <v>716.26</v>
      </c>
      <c r="H48" s="67">
        <f>+Calculos!K31</f>
        <v>296.91000000000008</v>
      </c>
      <c r="I48" s="68">
        <f t="shared" si="0"/>
        <v>1038.9100000000001</v>
      </c>
      <c r="J48" s="69">
        <f t="shared" si="5"/>
        <v>30101.669999999984</v>
      </c>
      <c r="K48" s="67">
        <f t="shared" si="1"/>
        <v>3</v>
      </c>
      <c r="L48" s="67">
        <f t="shared" si="2"/>
        <v>25.74</v>
      </c>
      <c r="M48" s="70">
        <f t="shared" si="6"/>
        <v>716.26</v>
      </c>
      <c r="N48" s="68">
        <f>+MIN(H48+MAX(0,E48-Calculos!$I$6),$C$19-L48+MAX(0,E48-Calculos!$I$6),I48-F48)</f>
        <v>296.91000000000008</v>
      </c>
      <c r="O48" s="71">
        <f t="shared" si="3"/>
        <v>1041.9100000000001</v>
      </c>
      <c r="P48" s="60"/>
    </row>
    <row r="49" spans="1:16" x14ac:dyDescent="0.25">
      <c r="A49" s="62"/>
      <c r="B49" s="64">
        <v>27</v>
      </c>
      <c r="C49" s="3">
        <f>+Calculos!B31</f>
        <v>44206</v>
      </c>
      <c r="D49" s="17">
        <f t="shared" si="4"/>
        <v>31</v>
      </c>
      <c r="E49" s="65">
        <f>+Calculos!I32</f>
        <v>29385.409999999927</v>
      </c>
      <c r="F49" s="66">
        <f>+Calculos!L32</f>
        <v>25.96</v>
      </c>
      <c r="G49" s="67">
        <f>+Calculos!J32</f>
        <v>713.3900000000001</v>
      </c>
      <c r="H49" s="67">
        <f>+Calculos!K32</f>
        <v>299.55999999999995</v>
      </c>
      <c r="I49" s="68">
        <f t="shared" si="0"/>
        <v>1038.9100000000001</v>
      </c>
      <c r="J49" s="69">
        <f t="shared" si="5"/>
        <v>29385.409999999985</v>
      </c>
      <c r="K49" s="67">
        <f t="shared" si="1"/>
        <v>3</v>
      </c>
      <c r="L49" s="67">
        <f t="shared" si="2"/>
        <v>25.96</v>
      </c>
      <c r="M49" s="70">
        <f t="shared" si="6"/>
        <v>713.3900000000001</v>
      </c>
      <c r="N49" s="68">
        <f>+MIN(H49+MAX(0,E49-Calculos!$I$6),$C$19-L49+MAX(0,E49-Calculos!$I$6),I49-F49)</f>
        <v>299.55999999999995</v>
      </c>
      <c r="O49" s="71">
        <f t="shared" si="3"/>
        <v>1041.9100000000001</v>
      </c>
      <c r="P49" s="60"/>
    </row>
    <row r="50" spans="1:16" x14ac:dyDescent="0.25">
      <c r="A50" s="62"/>
      <c r="B50" s="64">
        <v>28</v>
      </c>
      <c r="C50" s="3">
        <f>+Calculos!B32</f>
        <v>44237</v>
      </c>
      <c r="D50" s="17">
        <f t="shared" si="4"/>
        <v>31</v>
      </c>
      <c r="E50" s="65">
        <f>+Calculos!I33</f>
        <v>28672.019999999928</v>
      </c>
      <c r="F50" s="66">
        <f>+Calculos!L33</f>
        <v>25.33</v>
      </c>
      <c r="G50" s="67">
        <f>+Calculos!J33</f>
        <v>721.30000000000007</v>
      </c>
      <c r="H50" s="67">
        <f>+Calculos!K33</f>
        <v>292.27999999999997</v>
      </c>
      <c r="I50" s="68">
        <f t="shared" si="0"/>
        <v>1038.9100000000001</v>
      </c>
      <c r="J50" s="69">
        <f t="shared" si="5"/>
        <v>28672.019999999986</v>
      </c>
      <c r="K50" s="67">
        <f t="shared" si="1"/>
        <v>3</v>
      </c>
      <c r="L50" s="67">
        <f t="shared" si="2"/>
        <v>25.33</v>
      </c>
      <c r="M50" s="70">
        <f t="shared" si="6"/>
        <v>721.30000000000007</v>
      </c>
      <c r="N50" s="68">
        <f>+MIN(H50+MAX(0,E50-Calculos!$I$6),$C$19-L50+MAX(0,E50-Calculos!$I$6),I50-F50)</f>
        <v>292.27999999999997</v>
      </c>
      <c r="O50" s="71">
        <f t="shared" si="3"/>
        <v>1041.9100000000001</v>
      </c>
      <c r="P50" s="60"/>
    </row>
    <row r="51" spans="1:16" x14ac:dyDescent="0.25">
      <c r="A51" s="62"/>
      <c r="B51" s="64">
        <v>29</v>
      </c>
      <c r="C51" s="3">
        <f>+Calculos!B33</f>
        <v>44265</v>
      </c>
      <c r="D51" s="17">
        <f t="shared" si="4"/>
        <v>28</v>
      </c>
      <c r="E51" s="65">
        <f>+Calculos!I34</f>
        <v>27950.719999999928</v>
      </c>
      <c r="F51" s="66">
        <f>+Calculos!L34</f>
        <v>22.3</v>
      </c>
      <c r="G51" s="67">
        <f>+Calculos!J34</f>
        <v>759.38000000000011</v>
      </c>
      <c r="H51" s="67">
        <f>+Calculos!K34</f>
        <v>257.23</v>
      </c>
      <c r="I51" s="68">
        <f t="shared" si="0"/>
        <v>1038.9100000000001</v>
      </c>
      <c r="J51" s="69">
        <f t="shared" si="5"/>
        <v>27950.719999999987</v>
      </c>
      <c r="K51" s="67">
        <f t="shared" si="1"/>
        <v>3</v>
      </c>
      <c r="L51" s="67">
        <f t="shared" si="2"/>
        <v>22.3</v>
      </c>
      <c r="M51" s="70">
        <f t="shared" si="6"/>
        <v>759.38000000000011</v>
      </c>
      <c r="N51" s="68">
        <f>+MIN(H51+MAX(0,E51-Calculos!$I$6),$C$19-L51+MAX(0,E51-Calculos!$I$6),I51-F51)</f>
        <v>257.23</v>
      </c>
      <c r="O51" s="71">
        <f t="shared" si="3"/>
        <v>1041.9100000000001</v>
      </c>
      <c r="P51" s="60"/>
    </row>
    <row r="52" spans="1:16" x14ac:dyDescent="0.25">
      <c r="A52" s="62"/>
      <c r="B52" s="64">
        <v>30</v>
      </c>
      <c r="C52" s="3">
        <f>+Calculos!B34</f>
        <v>44296</v>
      </c>
      <c r="D52" s="17">
        <f t="shared" si="4"/>
        <v>31</v>
      </c>
      <c r="E52" s="65">
        <f>+Calculos!I35</f>
        <v>27191.339999999927</v>
      </c>
      <c r="F52" s="66">
        <f>+Calculos!L35</f>
        <v>24.02</v>
      </c>
      <c r="G52" s="67">
        <f>+Calculos!J35</f>
        <v>737.7</v>
      </c>
      <c r="H52" s="67">
        <f>+Calculos!K35</f>
        <v>277.19000000000005</v>
      </c>
      <c r="I52" s="68">
        <f t="shared" si="0"/>
        <v>1038.9100000000001</v>
      </c>
      <c r="J52" s="69">
        <f t="shared" si="5"/>
        <v>27191.339999999986</v>
      </c>
      <c r="K52" s="67">
        <f t="shared" si="1"/>
        <v>3</v>
      </c>
      <c r="L52" s="67">
        <f t="shared" si="2"/>
        <v>24.02</v>
      </c>
      <c r="M52" s="70">
        <f t="shared" si="6"/>
        <v>737.7</v>
      </c>
      <c r="N52" s="68">
        <f>+MIN(H52+MAX(0,E52-Calculos!$I$6),$C$19-L52+MAX(0,E52-Calculos!$I$6),I52-F52)</f>
        <v>277.19000000000005</v>
      </c>
      <c r="O52" s="71">
        <f t="shared" si="3"/>
        <v>1041.9100000000001</v>
      </c>
      <c r="P52" s="60"/>
    </row>
    <row r="53" spans="1:16" x14ac:dyDescent="0.25">
      <c r="A53" s="62"/>
      <c r="B53" s="64">
        <v>31</v>
      </c>
      <c r="C53" s="3">
        <f>+Calculos!B35</f>
        <v>44326</v>
      </c>
      <c r="D53" s="17">
        <f t="shared" si="4"/>
        <v>30</v>
      </c>
      <c r="E53" s="65">
        <f>+Calculos!I36</f>
        <v>26453.639999999927</v>
      </c>
      <c r="F53" s="66">
        <f>+Calculos!L36</f>
        <v>22.62</v>
      </c>
      <c r="G53" s="67">
        <f>+Calculos!J36</f>
        <v>755.36</v>
      </c>
      <c r="H53" s="67">
        <f>+Calculos!K36</f>
        <v>260.93000000000006</v>
      </c>
      <c r="I53" s="68">
        <f t="shared" si="0"/>
        <v>1038.9100000000001</v>
      </c>
      <c r="J53" s="69">
        <f t="shared" si="5"/>
        <v>26453.639999999985</v>
      </c>
      <c r="K53" s="67">
        <f t="shared" si="1"/>
        <v>3</v>
      </c>
      <c r="L53" s="67">
        <f t="shared" si="2"/>
        <v>22.62</v>
      </c>
      <c r="M53" s="70">
        <f t="shared" si="6"/>
        <v>755.36</v>
      </c>
      <c r="N53" s="68">
        <f>+MIN(H53+MAX(0,E53-Calculos!$I$6),$C$19-L53+MAX(0,E53-Calculos!$I$6),I53-F53)</f>
        <v>260.93000000000006</v>
      </c>
      <c r="O53" s="71">
        <f t="shared" si="3"/>
        <v>1041.9100000000001</v>
      </c>
      <c r="P53" s="60"/>
    </row>
    <row r="54" spans="1:16" x14ac:dyDescent="0.25">
      <c r="A54" s="62"/>
      <c r="B54" s="64">
        <v>32</v>
      </c>
      <c r="C54" s="3">
        <f>+Calculos!B36</f>
        <v>44357</v>
      </c>
      <c r="D54" s="17">
        <f t="shared" si="4"/>
        <v>31</v>
      </c>
      <c r="E54" s="65">
        <f>+Calculos!I37</f>
        <v>25698.279999999926</v>
      </c>
      <c r="F54" s="66">
        <f>+Calculos!L37</f>
        <v>22.7</v>
      </c>
      <c r="G54" s="67">
        <f>+Calculos!J37</f>
        <v>754.24</v>
      </c>
      <c r="H54" s="67">
        <f>+Calculos!K37</f>
        <v>261.97000000000003</v>
      </c>
      <c r="I54" s="68">
        <f t="shared" si="0"/>
        <v>1038.9100000000001</v>
      </c>
      <c r="J54" s="69">
        <f t="shared" si="5"/>
        <v>25698.279999999984</v>
      </c>
      <c r="K54" s="67">
        <f t="shared" si="1"/>
        <v>3</v>
      </c>
      <c r="L54" s="67">
        <f t="shared" si="2"/>
        <v>22.7</v>
      </c>
      <c r="M54" s="70">
        <f t="shared" si="6"/>
        <v>754.24</v>
      </c>
      <c r="N54" s="68">
        <f>+MIN(H54+MAX(0,E54-Calculos!$I$6),$C$19-L54+MAX(0,E54-Calculos!$I$6),I54-F54)</f>
        <v>261.97000000000003</v>
      </c>
      <c r="O54" s="71">
        <f t="shared" si="3"/>
        <v>1041.9100000000001</v>
      </c>
      <c r="P54" s="60"/>
    </row>
    <row r="55" spans="1:16" x14ac:dyDescent="0.25">
      <c r="A55" s="62"/>
      <c r="B55" s="64">
        <v>33</v>
      </c>
      <c r="C55" s="3">
        <f>+Calculos!B37</f>
        <v>44387</v>
      </c>
      <c r="D55" s="17">
        <f t="shared" si="4"/>
        <v>30</v>
      </c>
      <c r="E55" s="65">
        <f>+Calculos!I38</f>
        <v>24944.039999999928</v>
      </c>
      <c r="F55" s="66">
        <f>+Calculos!L38</f>
        <v>21.33</v>
      </c>
      <c r="G55" s="67">
        <f>+Calculos!J38</f>
        <v>771.54000000000008</v>
      </c>
      <c r="H55" s="67">
        <f>+Calculos!K38</f>
        <v>246.03999999999996</v>
      </c>
      <c r="I55" s="68">
        <f t="shared" ref="I55:I86" si="7">+SUM(F55:H55)</f>
        <v>1038.9100000000001</v>
      </c>
      <c r="J55" s="69">
        <f t="shared" si="5"/>
        <v>24944.039999999983</v>
      </c>
      <c r="K55" s="67">
        <f t="shared" ref="K55:K86" si="8">IF(AND(J55&gt;0),$C$14,0)</f>
        <v>3</v>
      </c>
      <c r="L55" s="67">
        <f t="shared" ref="L55:L86" si="9">+F55</f>
        <v>21.33</v>
      </c>
      <c r="M55" s="70">
        <f t="shared" si="6"/>
        <v>771.54000000000008</v>
      </c>
      <c r="N55" s="68">
        <f>+MIN(H55+MAX(0,E55-Calculos!$I$6),$C$19-L55+MAX(0,E55-Calculos!$I$6),I55-F55)</f>
        <v>246.03999999999996</v>
      </c>
      <c r="O55" s="71">
        <f t="shared" ref="O55:O86" si="10">+SUM(K55:N55)</f>
        <v>1041.9100000000001</v>
      </c>
      <c r="P55" s="60"/>
    </row>
    <row r="56" spans="1:16" x14ac:dyDescent="0.25">
      <c r="A56" s="62"/>
      <c r="B56" s="64">
        <v>34</v>
      </c>
      <c r="C56" s="3">
        <f>+Calculos!B38</f>
        <v>44418</v>
      </c>
      <c r="D56" s="17">
        <f t="shared" ref="D56:D87" si="11">+C56-C55</f>
        <v>31</v>
      </c>
      <c r="E56" s="65">
        <f>+Calculos!I39</f>
        <v>24172.499999999931</v>
      </c>
      <c r="F56" s="66">
        <f>+Calculos!L39</f>
        <v>21.36</v>
      </c>
      <c r="G56" s="67">
        <f>+Calculos!J39</f>
        <v>771.13000000000011</v>
      </c>
      <c r="H56" s="67">
        <f>+Calculos!K39</f>
        <v>246.41999999999996</v>
      </c>
      <c r="I56" s="68">
        <f t="shared" si="7"/>
        <v>1038.9100000000001</v>
      </c>
      <c r="J56" s="69">
        <f t="shared" ref="J56:J87" si="12">IF(AND(J55-M55&lt;0.05,J55-M55&gt;-0.05),0,J55-M55)</f>
        <v>24172.499999999982</v>
      </c>
      <c r="K56" s="67">
        <f t="shared" si="8"/>
        <v>3</v>
      </c>
      <c r="L56" s="67">
        <f t="shared" si="9"/>
        <v>21.36</v>
      </c>
      <c r="M56" s="70">
        <f t="shared" ref="M56:M87" si="13">+I56-N56-L56</f>
        <v>771.13000000000011</v>
      </c>
      <c r="N56" s="68">
        <f>+MIN(H56+MAX(0,E56-Calculos!$I$6),$C$19-L56+MAX(0,E56-Calculos!$I$6),I56-F56)</f>
        <v>246.41999999999996</v>
      </c>
      <c r="O56" s="71">
        <f t="shared" si="10"/>
        <v>1041.9100000000001</v>
      </c>
      <c r="P56" s="60"/>
    </row>
    <row r="57" spans="1:16" x14ac:dyDescent="0.25">
      <c r="A57" s="62"/>
      <c r="B57" s="64">
        <v>35</v>
      </c>
      <c r="C57" s="3">
        <f>+Calculos!B39</f>
        <v>44449</v>
      </c>
      <c r="D57" s="17">
        <f t="shared" si="11"/>
        <v>31</v>
      </c>
      <c r="E57" s="65">
        <f>+Calculos!I40</f>
        <v>23401.36999999993</v>
      </c>
      <c r="F57" s="66">
        <f>+Calculos!L40</f>
        <v>20.68</v>
      </c>
      <c r="G57" s="67">
        <f>+Calculos!J40</f>
        <v>779.68000000000018</v>
      </c>
      <c r="H57" s="67">
        <f>+Calculos!K40</f>
        <v>238.54999999999995</v>
      </c>
      <c r="I57" s="68">
        <f t="shared" si="7"/>
        <v>1038.9100000000001</v>
      </c>
      <c r="J57" s="69">
        <f t="shared" si="12"/>
        <v>23401.369999999981</v>
      </c>
      <c r="K57" s="67">
        <f t="shared" si="8"/>
        <v>3</v>
      </c>
      <c r="L57" s="67">
        <f t="shared" si="9"/>
        <v>20.68</v>
      </c>
      <c r="M57" s="70">
        <f t="shared" si="13"/>
        <v>779.68000000000018</v>
      </c>
      <c r="N57" s="68">
        <f>+MIN(H57+MAX(0,E57-Calculos!$I$6),$C$19-L57+MAX(0,E57-Calculos!$I$6),I57-F57)</f>
        <v>238.54999999999995</v>
      </c>
      <c r="O57" s="71">
        <f t="shared" si="10"/>
        <v>1041.9100000000001</v>
      </c>
      <c r="P57" s="60"/>
    </row>
    <row r="58" spans="1:16" x14ac:dyDescent="0.25">
      <c r="A58" s="62"/>
      <c r="B58" s="64">
        <v>36</v>
      </c>
      <c r="C58" s="3">
        <f>+Calculos!B40</f>
        <v>44479</v>
      </c>
      <c r="D58" s="17">
        <f t="shared" si="11"/>
        <v>30</v>
      </c>
      <c r="E58" s="65">
        <f>+Calculos!I41</f>
        <v>22621.68999999993</v>
      </c>
      <c r="F58" s="66">
        <f>+Calculos!L41</f>
        <v>19.34</v>
      </c>
      <c r="G58" s="67">
        <f>+Calculos!J41</f>
        <v>796.44</v>
      </c>
      <c r="H58" s="67">
        <f>+Calculos!K41</f>
        <v>223.13</v>
      </c>
      <c r="I58" s="68">
        <f t="shared" si="7"/>
        <v>1038.9100000000001</v>
      </c>
      <c r="J58" s="69">
        <f t="shared" si="12"/>
        <v>22621.689999999981</v>
      </c>
      <c r="K58" s="67">
        <f t="shared" si="8"/>
        <v>3</v>
      </c>
      <c r="L58" s="67">
        <f t="shared" si="9"/>
        <v>19.34</v>
      </c>
      <c r="M58" s="70">
        <f t="shared" si="13"/>
        <v>796.44</v>
      </c>
      <c r="N58" s="68">
        <f>+MIN(H58+MAX(0,E58-Calculos!$I$6),$C$19-L58+MAX(0,E58-Calculos!$I$6),I58-F58)</f>
        <v>223.13</v>
      </c>
      <c r="O58" s="71">
        <f t="shared" si="10"/>
        <v>1041.9100000000001</v>
      </c>
      <c r="P58" s="60"/>
    </row>
    <row r="59" spans="1:16" x14ac:dyDescent="0.25">
      <c r="A59" s="62"/>
      <c r="B59" s="64">
        <v>37</v>
      </c>
      <c r="C59" s="3">
        <f>+Calculos!B41</f>
        <v>44510</v>
      </c>
      <c r="D59" s="17">
        <f t="shared" si="11"/>
        <v>31</v>
      </c>
      <c r="E59" s="65">
        <f>+Calculos!I42</f>
        <v>21825.249999999931</v>
      </c>
      <c r="F59" s="66">
        <f>+Calculos!L42</f>
        <v>19.28</v>
      </c>
      <c r="G59" s="67">
        <f>+Calculos!J42</f>
        <v>797.1400000000001</v>
      </c>
      <c r="H59" s="67">
        <f>+Calculos!K42</f>
        <v>222.49</v>
      </c>
      <c r="I59" s="68">
        <f t="shared" si="7"/>
        <v>1038.9100000000001</v>
      </c>
      <c r="J59" s="69">
        <f t="shared" si="12"/>
        <v>21825.249999999982</v>
      </c>
      <c r="K59" s="67">
        <f t="shared" si="8"/>
        <v>3</v>
      </c>
      <c r="L59" s="67">
        <f t="shared" si="9"/>
        <v>19.28</v>
      </c>
      <c r="M59" s="70">
        <f t="shared" si="13"/>
        <v>797.1400000000001</v>
      </c>
      <c r="N59" s="68">
        <f>+MIN(H59+MAX(0,E59-Calculos!$I$6),$C$19-L59+MAX(0,E59-Calculos!$I$6),I59-F59)</f>
        <v>222.49</v>
      </c>
      <c r="O59" s="71">
        <f t="shared" si="10"/>
        <v>1041.9100000000001</v>
      </c>
      <c r="P59" s="60"/>
    </row>
    <row r="60" spans="1:16" x14ac:dyDescent="0.25">
      <c r="A60" s="62"/>
      <c r="B60" s="64">
        <v>38</v>
      </c>
      <c r="C60" s="3">
        <f>+Calculos!B42</f>
        <v>44540</v>
      </c>
      <c r="D60" s="17">
        <f t="shared" si="11"/>
        <v>30</v>
      </c>
      <c r="E60" s="65">
        <f>+Calculos!I43</f>
        <v>21028.109999999931</v>
      </c>
      <c r="F60" s="66">
        <f>+Calculos!L43</f>
        <v>17.98</v>
      </c>
      <c r="G60" s="67">
        <f>+Calculos!J43</f>
        <v>813.5200000000001</v>
      </c>
      <c r="H60" s="67">
        <f>+Calculos!K43</f>
        <v>207.40999999999997</v>
      </c>
      <c r="I60" s="68">
        <f t="shared" si="7"/>
        <v>1038.9100000000001</v>
      </c>
      <c r="J60" s="69">
        <f t="shared" si="12"/>
        <v>21028.109999999982</v>
      </c>
      <c r="K60" s="67">
        <f t="shared" si="8"/>
        <v>3</v>
      </c>
      <c r="L60" s="67">
        <f t="shared" si="9"/>
        <v>17.98</v>
      </c>
      <c r="M60" s="70">
        <f t="shared" si="13"/>
        <v>813.5200000000001</v>
      </c>
      <c r="N60" s="68">
        <f>+MIN(H60+MAX(0,E60-Calculos!$I$6),$C$19-L60+MAX(0,E60-Calculos!$I$6),I60-F60)</f>
        <v>207.40999999999997</v>
      </c>
      <c r="O60" s="71">
        <f t="shared" si="10"/>
        <v>1041.9100000000001</v>
      </c>
      <c r="P60" s="60"/>
    </row>
    <row r="61" spans="1:16" x14ac:dyDescent="0.25">
      <c r="A61" s="62"/>
      <c r="B61" s="64">
        <v>39</v>
      </c>
      <c r="C61" s="3">
        <f>+Calculos!B43</f>
        <v>44571</v>
      </c>
      <c r="D61" s="17">
        <f t="shared" si="11"/>
        <v>31</v>
      </c>
      <c r="E61" s="65">
        <f>+Calculos!I44</f>
        <v>20214.589999999931</v>
      </c>
      <c r="F61" s="66">
        <f>+Calculos!L44</f>
        <v>17.86</v>
      </c>
      <c r="G61" s="67">
        <f>+Calculos!J44</f>
        <v>814.98000000000013</v>
      </c>
      <c r="H61" s="67">
        <f>+Calculos!K44</f>
        <v>206.06999999999994</v>
      </c>
      <c r="I61" s="68">
        <f t="shared" si="7"/>
        <v>1038.9100000000001</v>
      </c>
      <c r="J61" s="69">
        <f t="shared" si="12"/>
        <v>20214.589999999982</v>
      </c>
      <c r="K61" s="67">
        <f t="shared" si="8"/>
        <v>3</v>
      </c>
      <c r="L61" s="67">
        <f t="shared" si="9"/>
        <v>17.86</v>
      </c>
      <c r="M61" s="70">
        <f t="shared" si="13"/>
        <v>814.98000000000013</v>
      </c>
      <c r="N61" s="68">
        <f>+MIN(H61+MAX(0,E61-Calculos!$I$6),$C$19-L61+MAX(0,E61-Calculos!$I$6),I61-F61)</f>
        <v>206.06999999999994</v>
      </c>
      <c r="O61" s="71">
        <f t="shared" si="10"/>
        <v>1041.9100000000001</v>
      </c>
      <c r="P61" s="60"/>
    </row>
    <row r="62" spans="1:16" x14ac:dyDescent="0.25">
      <c r="A62" s="62"/>
      <c r="B62" s="64">
        <v>40</v>
      </c>
      <c r="C62" s="3">
        <f>+Calculos!B44</f>
        <v>44602</v>
      </c>
      <c r="D62" s="17">
        <f t="shared" si="11"/>
        <v>31</v>
      </c>
      <c r="E62" s="65">
        <f>+Calculos!I45</f>
        <v>19399.609999999931</v>
      </c>
      <c r="F62" s="66">
        <f>+Calculos!L45</f>
        <v>17.14</v>
      </c>
      <c r="G62" s="67">
        <f>+Calculos!J45</f>
        <v>824.0100000000001</v>
      </c>
      <c r="H62" s="67">
        <f>+Calculos!K45</f>
        <v>197.76</v>
      </c>
      <c r="I62" s="68">
        <f t="shared" si="7"/>
        <v>1038.9100000000001</v>
      </c>
      <c r="J62" s="69">
        <f t="shared" si="12"/>
        <v>19399.609999999982</v>
      </c>
      <c r="K62" s="67">
        <f t="shared" si="8"/>
        <v>3</v>
      </c>
      <c r="L62" s="67">
        <f t="shared" si="9"/>
        <v>17.14</v>
      </c>
      <c r="M62" s="70">
        <f t="shared" si="13"/>
        <v>824.0100000000001</v>
      </c>
      <c r="N62" s="68">
        <f>+MIN(H62+MAX(0,E62-Calculos!$I$6),$C$19-L62+MAX(0,E62-Calculos!$I$6),I62-F62)</f>
        <v>197.76</v>
      </c>
      <c r="O62" s="71">
        <f t="shared" si="10"/>
        <v>1041.9100000000001</v>
      </c>
      <c r="P62" s="60"/>
    </row>
    <row r="63" spans="1:16" x14ac:dyDescent="0.25">
      <c r="A63" s="62"/>
      <c r="B63" s="64">
        <v>41</v>
      </c>
      <c r="C63" s="3">
        <f>+Calculos!B45</f>
        <v>44630</v>
      </c>
      <c r="D63" s="17">
        <f t="shared" si="11"/>
        <v>28</v>
      </c>
      <c r="E63" s="65">
        <f>+Calculos!I46</f>
        <v>18575.599999999929</v>
      </c>
      <c r="F63" s="66">
        <f>+Calculos!L46</f>
        <v>14.82</v>
      </c>
      <c r="G63" s="67">
        <f>+Calculos!J46</f>
        <v>853.14</v>
      </c>
      <c r="H63" s="67">
        <f>+Calculos!K46</f>
        <v>170.95000000000016</v>
      </c>
      <c r="I63" s="68">
        <f t="shared" si="7"/>
        <v>1038.9100000000003</v>
      </c>
      <c r="J63" s="69">
        <f t="shared" si="12"/>
        <v>18575.599999999984</v>
      </c>
      <c r="K63" s="67">
        <f t="shared" si="8"/>
        <v>3</v>
      </c>
      <c r="L63" s="67">
        <f t="shared" si="9"/>
        <v>14.82</v>
      </c>
      <c r="M63" s="70">
        <f t="shared" si="13"/>
        <v>853.1400000000001</v>
      </c>
      <c r="N63" s="68">
        <f>+MIN(H63+MAX(0,E63-Calculos!$I$6),$C$19-L63+MAX(0,E63-Calculos!$I$6),I63-F63)</f>
        <v>170.95000000000016</v>
      </c>
      <c r="O63" s="71">
        <f t="shared" si="10"/>
        <v>1041.9100000000003</v>
      </c>
      <c r="P63" s="60"/>
    </row>
    <row r="64" spans="1:16" x14ac:dyDescent="0.25">
      <c r="A64" s="62"/>
      <c r="B64" s="64">
        <v>42</v>
      </c>
      <c r="C64" s="3">
        <f>+Calculos!B46</f>
        <v>44661</v>
      </c>
      <c r="D64" s="17">
        <f t="shared" si="11"/>
        <v>31</v>
      </c>
      <c r="E64" s="65">
        <f>+Calculos!I47</f>
        <v>17722.45999999993</v>
      </c>
      <c r="F64" s="66">
        <f>+Calculos!L47</f>
        <v>15.66</v>
      </c>
      <c r="G64" s="67">
        <f>+Calculos!J47</f>
        <v>842.59000000000015</v>
      </c>
      <c r="H64" s="67">
        <f>+Calculos!K47</f>
        <v>180.65999999999997</v>
      </c>
      <c r="I64" s="68">
        <f t="shared" si="7"/>
        <v>1038.9100000000001</v>
      </c>
      <c r="J64" s="69">
        <f t="shared" si="12"/>
        <v>17722.459999999985</v>
      </c>
      <c r="K64" s="67">
        <f t="shared" si="8"/>
        <v>3</v>
      </c>
      <c r="L64" s="67">
        <f t="shared" si="9"/>
        <v>15.66</v>
      </c>
      <c r="M64" s="70">
        <f t="shared" si="13"/>
        <v>842.59000000000015</v>
      </c>
      <c r="N64" s="68">
        <f>+MIN(H64+MAX(0,E64-Calculos!$I$6),$C$19-L64+MAX(0,E64-Calculos!$I$6),I64-F64)</f>
        <v>180.65999999999997</v>
      </c>
      <c r="O64" s="71">
        <f t="shared" si="10"/>
        <v>1041.9100000000001</v>
      </c>
      <c r="P64" s="60"/>
    </row>
    <row r="65" spans="1:16" x14ac:dyDescent="0.25">
      <c r="A65" s="62"/>
      <c r="B65" s="64">
        <v>43</v>
      </c>
      <c r="C65" s="3">
        <f>+Calculos!B47</f>
        <v>44691</v>
      </c>
      <c r="D65" s="17">
        <f t="shared" si="11"/>
        <v>30</v>
      </c>
      <c r="E65" s="65">
        <f>+Calculos!I48</f>
        <v>16879.86999999993</v>
      </c>
      <c r="F65" s="66">
        <f>+Calculos!L48</f>
        <v>14.43</v>
      </c>
      <c r="G65" s="67">
        <f>+Calculos!J48</f>
        <v>857.98000000000013</v>
      </c>
      <c r="H65" s="67">
        <f>+Calculos!K48</f>
        <v>166.49999999999989</v>
      </c>
      <c r="I65" s="68">
        <f t="shared" si="7"/>
        <v>1038.9099999999999</v>
      </c>
      <c r="J65" s="69">
        <f t="shared" si="12"/>
        <v>16879.869999999984</v>
      </c>
      <c r="K65" s="67">
        <f t="shared" si="8"/>
        <v>3</v>
      </c>
      <c r="L65" s="67">
        <f t="shared" si="9"/>
        <v>14.43</v>
      </c>
      <c r="M65" s="70">
        <f t="shared" si="13"/>
        <v>857.98</v>
      </c>
      <c r="N65" s="68">
        <f>+MIN(H65+MAX(0,E65-Calculos!$I$6),$C$19-L65+MAX(0,E65-Calculos!$I$6),I65-F65)</f>
        <v>166.49999999999989</v>
      </c>
      <c r="O65" s="71">
        <f t="shared" si="10"/>
        <v>1041.9099999999999</v>
      </c>
      <c r="P65" s="60"/>
    </row>
    <row r="66" spans="1:16" x14ac:dyDescent="0.25">
      <c r="A66" s="62"/>
      <c r="B66" s="64">
        <v>44</v>
      </c>
      <c r="C66" s="3">
        <f>+Calculos!B48</f>
        <v>44722</v>
      </c>
      <c r="D66" s="17">
        <f t="shared" si="11"/>
        <v>31</v>
      </c>
      <c r="E66" s="65">
        <f>+Calculos!I49</f>
        <v>16021.88999999993</v>
      </c>
      <c r="F66" s="66">
        <f>+Calculos!L49</f>
        <v>14.16</v>
      </c>
      <c r="G66" s="67">
        <f>+Calculos!J49</f>
        <v>861.42000000000007</v>
      </c>
      <c r="H66" s="67">
        <f>+Calculos!K49</f>
        <v>163.32999999999993</v>
      </c>
      <c r="I66" s="68">
        <f t="shared" si="7"/>
        <v>1038.9099999999999</v>
      </c>
      <c r="J66" s="69">
        <f t="shared" si="12"/>
        <v>16021.889999999985</v>
      </c>
      <c r="K66" s="67">
        <f t="shared" si="8"/>
        <v>3</v>
      </c>
      <c r="L66" s="67">
        <f t="shared" si="9"/>
        <v>14.16</v>
      </c>
      <c r="M66" s="70">
        <f t="shared" si="13"/>
        <v>861.42</v>
      </c>
      <c r="N66" s="68">
        <f>+MIN(H66+MAX(0,E66-Calculos!$I$6),$C$19-L66+MAX(0,E66-Calculos!$I$6),I66-F66)</f>
        <v>163.32999999999993</v>
      </c>
      <c r="O66" s="71">
        <f t="shared" si="10"/>
        <v>1041.9099999999999</v>
      </c>
      <c r="P66" s="60"/>
    </row>
    <row r="67" spans="1:16" x14ac:dyDescent="0.25">
      <c r="A67" s="62"/>
      <c r="B67" s="64">
        <v>45</v>
      </c>
      <c r="C67" s="3">
        <f>+Calculos!B49</f>
        <v>44752</v>
      </c>
      <c r="D67" s="17">
        <f t="shared" si="11"/>
        <v>30</v>
      </c>
      <c r="E67" s="65">
        <f>+Calculos!I50</f>
        <v>15160.46999999993</v>
      </c>
      <c r="F67" s="66">
        <f>+Calculos!L50</f>
        <v>12.96</v>
      </c>
      <c r="G67" s="67">
        <f>+Calculos!J50</f>
        <v>876.41000000000008</v>
      </c>
      <c r="H67" s="67">
        <f>+Calculos!K50</f>
        <v>149.53999999999996</v>
      </c>
      <c r="I67" s="68">
        <f t="shared" si="7"/>
        <v>1038.9100000000001</v>
      </c>
      <c r="J67" s="69">
        <f t="shared" si="12"/>
        <v>15160.469999999985</v>
      </c>
      <c r="K67" s="67">
        <f t="shared" si="8"/>
        <v>3</v>
      </c>
      <c r="L67" s="67">
        <f t="shared" si="9"/>
        <v>12.96</v>
      </c>
      <c r="M67" s="70">
        <f t="shared" si="13"/>
        <v>876.41000000000008</v>
      </c>
      <c r="N67" s="68">
        <f>+MIN(H67+MAX(0,E67-Calculos!$I$6),$C$19-L67+MAX(0,E67-Calculos!$I$6),I67-F67)</f>
        <v>149.53999999999996</v>
      </c>
      <c r="O67" s="71">
        <f t="shared" si="10"/>
        <v>1041.9100000000001</v>
      </c>
      <c r="P67" s="60"/>
    </row>
    <row r="68" spans="1:16" x14ac:dyDescent="0.25">
      <c r="A68" s="62"/>
      <c r="B68" s="64">
        <v>46</v>
      </c>
      <c r="C68" s="3">
        <f>+Calculos!B50</f>
        <v>44783</v>
      </c>
      <c r="D68" s="17">
        <f t="shared" si="11"/>
        <v>31</v>
      </c>
      <c r="E68" s="65">
        <f>+Calculos!I51</f>
        <v>14284.05999999993</v>
      </c>
      <c r="F68" s="66">
        <f>+Calculos!L51</f>
        <v>12.62</v>
      </c>
      <c r="G68" s="67">
        <f>+Calculos!J51</f>
        <v>880.68000000000006</v>
      </c>
      <c r="H68" s="67">
        <f>+Calculos!K51</f>
        <v>145.61000000000013</v>
      </c>
      <c r="I68" s="68">
        <f t="shared" si="7"/>
        <v>1038.9100000000003</v>
      </c>
      <c r="J68" s="69">
        <f t="shared" si="12"/>
        <v>14284.059999999985</v>
      </c>
      <c r="K68" s="67">
        <f t="shared" si="8"/>
        <v>3</v>
      </c>
      <c r="L68" s="67">
        <f t="shared" si="9"/>
        <v>12.62</v>
      </c>
      <c r="M68" s="70">
        <f t="shared" si="13"/>
        <v>880.68000000000018</v>
      </c>
      <c r="N68" s="68">
        <f>+MIN(H68+MAX(0,E68-Calculos!$I$6),$C$19-L68+MAX(0,E68-Calculos!$I$6),I68-F68)</f>
        <v>145.61000000000013</v>
      </c>
      <c r="O68" s="71">
        <f t="shared" si="10"/>
        <v>1041.9100000000003</v>
      </c>
      <c r="P68" s="60"/>
    </row>
    <row r="69" spans="1:16" x14ac:dyDescent="0.25">
      <c r="A69" s="62"/>
      <c r="B69" s="64">
        <v>47</v>
      </c>
      <c r="C69" s="3">
        <f>+Calculos!B51</f>
        <v>44814</v>
      </c>
      <c r="D69" s="17">
        <f t="shared" si="11"/>
        <v>31</v>
      </c>
      <c r="E69" s="65">
        <f>+Calculos!I52</f>
        <v>13403.379999999932</v>
      </c>
      <c r="F69" s="66">
        <f>+Calculos!L52</f>
        <v>11.84</v>
      </c>
      <c r="G69" s="67">
        <f>+Calculos!J52</f>
        <v>890.44</v>
      </c>
      <c r="H69" s="67">
        <f>+Calculos!K52</f>
        <v>136.63000000000011</v>
      </c>
      <c r="I69" s="68">
        <f t="shared" si="7"/>
        <v>1038.9100000000003</v>
      </c>
      <c r="J69" s="69">
        <f t="shared" si="12"/>
        <v>13403.379999999985</v>
      </c>
      <c r="K69" s="67">
        <f t="shared" si="8"/>
        <v>3</v>
      </c>
      <c r="L69" s="67">
        <f t="shared" si="9"/>
        <v>11.84</v>
      </c>
      <c r="M69" s="70">
        <f t="shared" si="13"/>
        <v>890.44000000000017</v>
      </c>
      <c r="N69" s="68">
        <f>+MIN(H69+MAX(0,E69-Calculos!$I$6),$C$19-L69+MAX(0,E69-Calculos!$I$6),I69-F69)</f>
        <v>136.63000000000011</v>
      </c>
      <c r="O69" s="71">
        <f t="shared" si="10"/>
        <v>1041.9100000000003</v>
      </c>
      <c r="P69" s="60"/>
    </row>
    <row r="70" spans="1:16" x14ac:dyDescent="0.25">
      <c r="A70" s="62"/>
      <c r="B70" s="64">
        <f t="shared" ref="B70:B101" si="14">+B69+1</f>
        <v>48</v>
      </c>
      <c r="C70" s="3">
        <f>+Calculos!B52</f>
        <v>44844</v>
      </c>
      <c r="D70" s="17">
        <f t="shared" si="11"/>
        <v>30</v>
      </c>
      <c r="E70" s="65">
        <f>+Calculos!I53</f>
        <v>12512.939999999931</v>
      </c>
      <c r="F70" s="66">
        <f>+Calculos!L53</f>
        <v>10.7</v>
      </c>
      <c r="G70" s="67">
        <f>+Calculos!J53</f>
        <v>904.79000000000008</v>
      </c>
      <c r="H70" s="67">
        <f>+Calculos!K53</f>
        <v>123.41999999999996</v>
      </c>
      <c r="I70" s="68">
        <f t="shared" si="7"/>
        <v>1038.9100000000001</v>
      </c>
      <c r="J70" s="69">
        <f t="shared" si="12"/>
        <v>12512.939999999984</v>
      </c>
      <c r="K70" s="67">
        <f t="shared" si="8"/>
        <v>3</v>
      </c>
      <c r="L70" s="67">
        <f t="shared" si="9"/>
        <v>10.7</v>
      </c>
      <c r="M70" s="70">
        <f t="shared" si="13"/>
        <v>904.79000000000008</v>
      </c>
      <c r="N70" s="68">
        <f>+MIN(H70+MAX(0,E70-Calculos!$I$6),$C$19-L70+MAX(0,E70-Calculos!$I$6),I70-F70)</f>
        <v>123.41999999999996</v>
      </c>
      <c r="O70" s="71">
        <f t="shared" si="10"/>
        <v>1041.9100000000001</v>
      </c>
      <c r="P70" s="60"/>
    </row>
    <row r="71" spans="1:16" x14ac:dyDescent="0.25">
      <c r="A71" s="62"/>
      <c r="B71" s="64">
        <f t="shared" si="14"/>
        <v>49</v>
      </c>
      <c r="C71" s="3">
        <f>+Calculos!B53</f>
        <v>44875</v>
      </c>
      <c r="D71" s="17">
        <f t="shared" si="11"/>
        <v>31</v>
      </c>
      <c r="E71" s="65">
        <f>+Calculos!I54</f>
        <v>11608.149999999932</v>
      </c>
      <c r="F71" s="66">
        <f>+Calculos!L54</f>
        <v>10.26</v>
      </c>
      <c r="G71" s="67">
        <f>+Calculos!J54</f>
        <v>910.32</v>
      </c>
      <c r="H71" s="67">
        <f>+Calculos!K54</f>
        <v>118.33000000000004</v>
      </c>
      <c r="I71" s="68">
        <f t="shared" si="7"/>
        <v>1038.9100000000001</v>
      </c>
      <c r="J71" s="69">
        <f t="shared" si="12"/>
        <v>11608.149999999983</v>
      </c>
      <c r="K71" s="67">
        <f t="shared" si="8"/>
        <v>3</v>
      </c>
      <c r="L71" s="67">
        <f t="shared" si="9"/>
        <v>10.26</v>
      </c>
      <c r="M71" s="70">
        <f t="shared" si="13"/>
        <v>910.32</v>
      </c>
      <c r="N71" s="68">
        <f>+MIN(H71+MAX(0,E71-Calculos!$I$6),$C$19-L71+MAX(0,E71-Calculos!$I$6),I71-F71)</f>
        <v>118.33000000000004</v>
      </c>
      <c r="O71" s="71">
        <f t="shared" si="10"/>
        <v>1041.9100000000001</v>
      </c>
      <c r="P71" s="60"/>
    </row>
    <row r="72" spans="1:16" x14ac:dyDescent="0.25">
      <c r="A72" s="62"/>
      <c r="B72" s="64">
        <f t="shared" si="14"/>
        <v>50</v>
      </c>
      <c r="C72" s="3">
        <f>+Calculos!B54</f>
        <v>44905</v>
      </c>
      <c r="D72" s="17">
        <f t="shared" si="11"/>
        <v>30</v>
      </c>
      <c r="E72" s="65">
        <f>+Calculos!I55</f>
        <v>10697.829999999933</v>
      </c>
      <c r="F72" s="66">
        <f>+Calculos!L55</f>
        <v>9.15</v>
      </c>
      <c r="G72" s="67">
        <f>+Calculos!J55</f>
        <v>924.24000000000012</v>
      </c>
      <c r="H72" s="67">
        <f>+Calculos!K55</f>
        <v>105.51999999999987</v>
      </c>
      <c r="I72" s="68">
        <f t="shared" si="7"/>
        <v>1038.9099999999999</v>
      </c>
      <c r="J72" s="69">
        <f t="shared" si="12"/>
        <v>10697.829999999984</v>
      </c>
      <c r="K72" s="67">
        <f t="shared" si="8"/>
        <v>3</v>
      </c>
      <c r="L72" s="67">
        <f t="shared" si="9"/>
        <v>9.15</v>
      </c>
      <c r="M72" s="70">
        <f t="shared" si="13"/>
        <v>924.24</v>
      </c>
      <c r="N72" s="68">
        <f>+MIN(H72+MAX(0,E72-Calculos!$I$6),$C$19-L72+MAX(0,E72-Calculos!$I$6),I72-F72)</f>
        <v>105.51999999999987</v>
      </c>
      <c r="O72" s="71">
        <f t="shared" si="10"/>
        <v>1041.9099999999999</v>
      </c>
      <c r="P72" s="60"/>
    </row>
    <row r="73" spans="1:16" x14ac:dyDescent="0.25">
      <c r="A73" s="62"/>
      <c r="B73" s="64">
        <f t="shared" si="14"/>
        <v>51</v>
      </c>
      <c r="C73" s="3">
        <f>+Calculos!B55</f>
        <v>44936</v>
      </c>
      <c r="D73" s="17">
        <f t="shared" si="11"/>
        <v>31</v>
      </c>
      <c r="E73" s="65">
        <f>+Calculos!I56</f>
        <v>9773.5899999999328</v>
      </c>
      <c r="F73" s="66">
        <f>+Calculos!L56</f>
        <v>8.6300000000000008</v>
      </c>
      <c r="G73" s="67">
        <f>+Calculos!J56</f>
        <v>930.65000000000009</v>
      </c>
      <c r="H73" s="67">
        <f>+Calculos!K56</f>
        <v>99.629999999999882</v>
      </c>
      <c r="I73" s="68">
        <f t="shared" si="7"/>
        <v>1038.9099999999999</v>
      </c>
      <c r="J73" s="69">
        <f t="shared" si="12"/>
        <v>9773.5899999999838</v>
      </c>
      <c r="K73" s="67">
        <f t="shared" si="8"/>
        <v>3</v>
      </c>
      <c r="L73" s="67">
        <f t="shared" si="9"/>
        <v>8.6300000000000008</v>
      </c>
      <c r="M73" s="70">
        <f t="shared" si="13"/>
        <v>930.65</v>
      </c>
      <c r="N73" s="68">
        <f>+MIN(H73+MAX(0,E73-Calculos!$I$6),$C$19-L73+MAX(0,E73-Calculos!$I$6),I73-F73)</f>
        <v>99.629999999999882</v>
      </c>
      <c r="O73" s="71">
        <f t="shared" si="10"/>
        <v>1041.9099999999999</v>
      </c>
      <c r="P73" s="60"/>
    </row>
    <row r="74" spans="1:16" x14ac:dyDescent="0.25">
      <c r="A74" s="62"/>
      <c r="B74" s="64">
        <f t="shared" si="14"/>
        <v>52</v>
      </c>
      <c r="C74" s="3">
        <f>+Calculos!B56</f>
        <v>44967</v>
      </c>
      <c r="D74" s="17">
        <f t="shared" si="11"/>
        <v>31</v>
      </c>
      <c r="E74" s="65">
        <f>+Calculos!I57</f>
        <v>8842.9399999999314</v>
      </c>
      <c r="F74" s="66">
        <f>+Calculos!L57</f>
        <v>7.81</v>
      </c>
      <c r="G74" s="67">
        <f>+Calculos!J57</f>
        <v>940.95000000000016</v>
      </c>
      <c r="H74" s="67">
        <f>+Calculos!K57</f>
        <v>90.149999999999977</v>
      </c>
      <c r="I74" s="68">
        <f t="shared" si="7"/>
        <v>1038.9100000000001</v>
      </c>
      <c r="J74" s="69">
        <f t="shared" si="12"/>
        <v>8842.9399999999841</v>
      </c>
      <c r="K74" s="67">
        <f t="shared" si="8"/>
        <v>3</v>
      </c>
      <c r="L74" s="67">
        <f t="shared" si="9"/>
        <v>7.81</v>
      </c>
      <c r="M74" s="70">
        <f t="shared" si="13"/>
        <v>940.95000000000016</v>
      </c>
      <c r="N74" s="68">
        <f>+MIN(H74+MAX(0,E74-Calculos!$I$6),$C$19-L74+MAX(0,E74-Calculos!$I$6),I74-F74)</f>
        <v>90.149999999999977</v>
      </c>
      <c r="O74" s="71">
        <f t="shared" si="10"/>
        <v>1041.9100000000001</v>
      </c>
      <c r="P74" s="60"/>
    </row>
    <row r="75" spans="1:16" x14ac:dyDescent="0.25">
      <c r="A75" s="62"/>
      <c r="B75" s="64">
        <f t="shared" si="14"/>
        <v>53</v>
      </c>
      <c r="C75" s="3">
        <f>+Calculos!B57</f>
        <v>44995</v>
      </c>
      <c r="D75" s="17">
        <f t="shared" si="11"/>
        <v>28</v>
      </c>
      <c r="E75" s="65">
        <f>+Calculos!I58</f>
        <v>7901.9899999999316</v>
      </c>
      <c r="F75" s="66">
        <f>+Calculos!L58</f>
        <v>6.31</v>
      </c>
      <c r="G75" s="67">
        <f>+Calculos!J58</f>
        <v>959.88000000000011</v>
      </c>
      <c r="H75" s="67">
        <f>+Calculos!K58</f>
        <v>72.720000000000027</v>
      </c>
      <c r="I75" s="68">
        <f t="shared" si="7"/>
        <v>1038.9100000000001</v>
      </c>
      <c r="J75" s="69">
        <f t="shared" si="12"/>
        <v>7901.9899999999843</v>
      </c>
      <c r="K75" s="67">
        <f t="shared" si="8"/>
        <v>3</v>
      </c>
      <c r="L75" s="67">
        <f t="shared" si="9"/>
        <v>6.31</v>
      </c>
      <c r="M75" s="70">
        <f t="shared" si="13"/>
        <v>959.88000000000011</v>
      </c>
      <c r="N75" s="68">
        <f>+MIN(H75+MAX(0,E75-Calculos!$I$6),$C$19-L75+MAX(0,E75-Calculos!$I$6),I75-F75)</f>
        <v>72.720000000000027</v>
      </c>
      <c r="O75" s="71">
        <f t="shared" si="10"/>
        <v>1041.9100000000001</v>
      </c>
      <c r="P75" s="60"/>
    </row>
    <row r="76" spans="1:16" x14ac:dyDescent="0.25">
      <c r="A76" s="62"/>
      <c r="B76" s="64">
        <f t="shared" si="14"/>
        <v>54</v>
      </c>
      <c r="C76" s="3">
        <f>+Calculos!B58</f>
        <v>45026</v>
      </c>
      <c r="D76" s="17">
        <f t="shared" si="11"/>
        <v>31</v>
      </c>
      <c r="E76" s="65">
        <f>+Calculos!I59</f>
        <v>6942.1099999999324</v>
      </c>
      <c r="F76" s="66">
        <f>+Calculos!L59</f>
        <v>6.13</v>
      </c>
      <c r="G76" s="67">
        <f>+Calculos!J59</f>
        <v>962.0100000000001</v>
      </c>
      <c r="H76" s="67">
        <f>+Calculos!K59</f>
        <v>70.769999999999868</v>
      </c>
      <c r="I76" s="68">
        <f t="shared" si="7"/>
        <v>1038.9099999999999</v>
      </c>
      <c r="J76" s="69">
        <f t="shared" si="12"/>
        <v>6942.1099999999842</v>
      </c>
      <c r="K76" s="67">
        <f t="shared" si="8"/>
        <v>3</v>
      </c>
      <c r="L76" s="67">
        <f t="shared" si="9"/>
        <v>6.13</v>
      </c>
      <c r="M76" s="70">
        <f t="shared" si="13"/>
        <v>962.01</v>
      </c>
      <c r="N76" s="68">
        <f>+MIN(H76+MAX(0,E76-Calculos!$I$6),$C$19-L76+MAX(0,E76-Calculos!$I$6),I76-F76)</f>
        <v>70.769999999999868</v>
      </c>
      <c r="O76" s="71">
        <f t="shared" si="10"/>
        <v>1041.9099999999999</v>
      </c>
      <c r="P76" s="60"/>
    </row>
    <row r="77" spans="1:16" x14ac:dyDescent="0.25">
      <c r="A77" s="62"/>
      <c r="B77" s="64">
        <f t="shared" si="14"/>
        <v>55</v>
      </c>
      <c r="C77" s="3">
        <f>+Calculos!B59</f>
        <v>45056</v>
      </c>
      <c r="D77" s="17">
        <f t="shared" si="11"/>
        <v>30</v>
      </c>
      <c r="E77" s="65">
        <f>+Calculos!I60</f>
        <v>5980.0999999999331</v>
      </c>
      <c r="F77" s="66">
        <f>+Calculos!L60</f>
        <v>5.1100000000000003</v>
      </c>
      <c r="G77" s="67">
        <f>+Calculos!J60</f>
        <v>974.81000000000006</v>
      </c>
      <c r="H77" s="67">
        <f>+Calculos!K60</f>
        <v>58.990000000000123</v>
      </c>
      <c r="I77" s="68">
        <f t="shared" si="7"/>
        <v>1038.9100000000003</v>
      </c>
      <c r="J77" s="69">
        <f t="shared" si="12"/>
        <v>5980.099999999984</v>
      </c>
      <c r="K77" s="67">
        <f t="shared" si="8"/>
        <v>3</v>
      </c>
      <c r="L77" s="67">
        <f t="shared" si="9"/>
        <v>5.1100000000000003</v>
      </c>
      <c r="M77" s="70">
        <f t="shared" si="13"/>
        <v>974.81000000000017</v>
      </c>
      <c r="N77" s="68">
        <f>+MIN(H77+MAX(0,E77-Calculos!$I$6),$C$19-L77+MAX(0,E77-Calculos!$I$6),I77-F77)</f>
        <v>58.990000000000123</v>
      </c>
      <c r="O77" s="71">
        <f t="shared" si="10"/>
        <v>1041.9100000000003</v>
      </c>
      <c r="P77" s="60"/>
    </row>
    <row r="78" spans="1:16" x14ac:dyDescent="0.25">
      <c r="A78" s="62"/>
      <c r="B78" s="64">
        <f t="shared" si="14"/>
        <v>56</v>
      </c>
      <c r="C78" s="3">
        <f>+Calculos!B60</f>
        <v>45087</v>
      </c>
      <c r="D78" s="17">
        <f t="shared" si="11"/>
        <v>31</v>
      </c>
      <c r="E78" s="65">
        <f>+Calculos!I61</f>
        <v>5005.2899999999327</v>
      </c>
      <c r="F78" s="66">
        <f>+Calculos!L61</f>
        <v>4.42</v>
      </c>
      <c r="G78" s="67">
        <f>+Calculos!J61</f>
        <v>983.47000000000014</v>
      </c>
      <c r="H78" s="67">
        <f>+Calculos!K61</f>
        <v>51.019999999999868</v>
      </c>
      <c r="I78" s="68">
        <f t="shared" si="7"/>
        <v>1038.9099999999999</v>
      </c>
      <c r="J78" s="69">
        <f t="shared" si="12"/>
        <v>5005.2899999999836</v>
      </c>
      <c r="K78" s="67">
        <f t="shared" si="8"/>
        <v>3</v>
      </c>
      <c r="L78" s="67">
        <f t="shared" si="9"/>
        <v>4.42</v>
      </c>
      <c r="M78" s="70">
        <f t="shared" si="13"/>
        <v>983.47</v>
      </c>
      <c r="N78" s="68">
        <f>+MIN(H78+MAX(0,E78-Calculos!$I$6),$C$19-L78+MAX(0,E78-Calculos!$I$6),I78-F78)</f>
        <v>51.019999999999868</v>
      </c>
      <c r="O78" s="71">
        <f t="shared" si="10"/>
        <v>1041.9099999999999</v>
      </c>
      <c r="P78" s="60"/>
    </row>
    <row r="79" spans="1:16" x14ac:dyDescent="0.25">
      <c r="A79" s="62"/>
      <c r="B79" s="64">
        <f t="shared" si="14"/>
        <v>57</v>
      </c>
      <c r="C79" s="3">
        <f>+Calculos!B61</f>
        <v>45117</v>
      </c>
      <c r="D79" s="17">
        <f t="shared" si="11"/>
        <v>30</v>
      </c>
      <c r="E79" s="65">
        <f>+Calculos!I62</f>
        <v>4021.8199999999329</v>
      </c>
      <c r="F79" s="66">
        <f>+Calculos!L62</f>
        <v>3.44</v>
      </c>
      <c r="G79" s="67">
        <f>+Calculos!J62</f>
        <v>995.80000000000007</v>
      </c>
      <c r="H79" s="67">
        <f>+Calculos!K62</f>
        <v>39.669999999999959</v>
      </c>
      <c r="I79" s="68">
        <f t="shared" si="7"/>
        <v>1038.9100000000001</v>
      </c>
      <c r="J79" s="69">
        <f t="shared" si="12"/>
        <v>4021.8199999999833</v>
      </c>
      <c r="K79" s="67">
        <f t="shared" si="8"/>
        <v>3</v>
      </c>
      <c r="L79" s="67">
        <f t="shared" si="9"/>
        <v>3.44</v>
      </c>
      <c r="M79" s="70">
        <f t="shared" si="13"/>
        <v>995.80000000000007</v>
      </c>
      <c r="N79" s="68">
        <f>+MIN(H79+MAX(0,E79-Calculos!$I$6),$C$19-L79+MAX(0,E79-Calculos!$I$6),I79-F79)</f>
        <v>39.669999999999959</v>
      </c>
      <c r="O79" s="71">
        <f t="shared" si="10"/>
        <v>1041.9100000000001</v>
      </c>
      <c r="P79" s="60"/>
    </row>
    <row r="80" spans="1:16" x14ac:dyDescent="0.25">
      <c r="A80" s="62"/>
      <c r="B80" s="64">
        <f t="shared" si="14"/>
        <v>58</v>
      </c>
      <c r="C80" s="3">
        <f>+Calculos!B62</f>
        <v>45148</v>
      </c>
      <c r="D80" s="17">
        <f t="shared" si="11"/>
        <v>31</v>
      </c>
      <c r="E80" s="65">
        <f>+Calculos!I63</f>
        <v>3026.0199999999327</v>
      </c>
      <c r="F80" s="66">
        <f>+Calculos!L63</f>
        <v>2.67</v>
      </c>
      <c r="G80" s="67">
        <f>+Calculos!J63</f>
        <v>1005.3900000000001</v>
      </c>
      <c r="H80" s="67">
        <f>+Calculos!K63</f>
        <v>30.849999999999909</v>
      </c>
      <c r="I80" s="68">
        <f t="shared" si="7"/>
        <v>1038.9099999999999</v>
      </c>
      <c r="J80" s="69">
        <f t="shared" si="12"/>
        <v>3026.0199999999832</v>
      </c>
      <c r="K80" s="67">
        <f t="shared" si="8"/>
        <v>3</v>
      </c>
      <c r="L80" s="67">
        <f t="shared" si="9"/>
        <v>2.67</v>
      </c>
      <c r="M80" s="70">
        <f t="shared" si="13"/>
        <v>1005.39</v>
      </c>
      <c r="N80" s="68">
        <f>+MIN(H80+MAX(0,E80-Calculos!$I$6),$C$19-L80+MAX(0,E80-Calculos!$I$6),I80-F80)</f>
        <v>30.849999999999909</v>
      </c>
      <c r="O80" s="71">
        <f t="shared" si="10"/>
        <v>1041.9099999999999</v>
      </c>
      <c r="P80" s="60"/>
    </row>
    <row r="81" spans="1:16" x14ac:dyDescent="0.25">
      <c r="A81" s="62"/>
      <c r="B81" s="64">
        <f t="shared" si="14"/>
        <v>59</v>
      </c>
      <c r="C81" s="3">
        <f>+Calculos!B63</f>
        <v>45179</v>
      </c>
      <c r="D81" s="17">
        <f t="shared" si="11"/>
        <v>31</v>
      </c>
      <c r="E81" s="65">
        <f>+Calculos!I64</f>
        <v>2020.6299999999326</v>
      </c>
      <c r="F81" s="66">
        <f>+Calculos!L64</f>
        <v>1.79</v>
      </c>
      <c r="G81" s="67">
        <f>+Calculos!J64</f>
        <v>1016.5200000000001</v>
      </c>
      <c r="H81" s="67">
        <f>+Calculos!K64</f>
        <v>20.600000000000023</v>
      </c>
      <c r="I81" s="68">
        <f t="shared" si="7"/>
        <v>1038.9100000000001</v>
      </c>
      <c r="J81" s="69">
        <f t="shared" si="12"/>
        <v>2020.6299999999833</v>
      </c>
      <c r="K81" s="67">
        <f t="shared" si="8"/>
        <v>3</v>
      </c>
      <c r="L81" s="67">
        <f t="shared" si="9"/>
        <v>1.79</v>
      </c>
      <c r="M81" s="70">
        <f t="shared" si="13"/>
        <v>1016.5200000000001</v>
      </c>
      <c r="N81" s="68">
        <f>+MIN(H81+MAX(0,E81-Calculos!$I$6),$C$19-L81+MAX(0,E81-Calculos!$I$6),I81-F81)</f>
        <v>20.600000000000023</v>
      </c>
      <c r="O81" s="71">
        <f t="shared" si="10"/>
        <v>1041.9100000000001</v>
      </c>
      <c r="P81" s="60"/>
    </row>
    <row r="82" spans="1:16" x14ac:dyDescent="0.25">
      <c r="A82" s="62"/>
      <c r="B82" s="64">
        <f t="shared" si="14"/>
        <v>60</v>
      </c>
      <c r="C82" s="3">
        <f>+Calculos!B64</f>
        <v>45209</v>
      </c>
      <c r="D82" s="17">
        <f t="shared" si="11"/>
        <v>30</v>
      </c>
      <c r="E82" s="65">
        <f>+Calculos!I65</f>
        <v>1004.1099999999325</v>
      </c>
      <c r="F82" s="66">
        <f>+Calculos!L65</f>
        <v>0.86</v>
      </c>
      <c r="G82" s="67">
        <f>+Calculos!J65</f>
        <v>1004.1099999999325</v>
      </c>
      <c r="H82" s="67">
        <f>+Calculos!K65</f>
        <v>9.9000000000675072</v>
      </c>
      <c r="I82" s="68">
        <f t="shared" si="7"/>
        <v>1014.87</v>
      </c>
      <c r="J82" s="69">
        <f t="shared" si="12"/>
        <v>1004.1099999999832</v>
      </c>
      <c r="K82" s="67">
        <f t="shared" si="8"/>
        <v>3</v>
      </c>
      <c r="L82" s="67">
        <f t="shared" si="9"/>
        <v>0.86</v>
      </c>
      <c r="M82" s="70">
        <f t="shared" si="13"/>
        <v>1004.1099999999325</v>
      </c>
      <c r="N82" s="68">
        <f>+MIN(H82+MAX(0,E82-Calculos!$I$6),$C$19-L82+MAX(0,E82-Calculos!$I$6),I82-F82)</f>
        <v>9.9000000000675072</v>
      </c>
      <c r="O82" s="71">
        <f t="shared" si="10"/>
        <v>1017.87</v>
      </c>
      <c r="P82" s="60"/>
    </row>
    <row r="83" spans="1:16" x14ac:dyDescent="0.25">
      <c r="A83" s="62"/>
      <c r="B83" s="64">
        <f t="shared" si="14"/>
        <v>61</v>
      </c>
      <c r="C83" s="3">
        <f>+Calculos!B65</f>
        <v>45240</v>
      </c>
      <c r="D83" s="17">
        <f t="shared" si="11"/>
        <v>31</v>
      </c>
      <c r="E83" s="65">
        <f>+Calculos!I66</f>
        <v>0</v>
      </c>
      <c r="F83" s="66">
        <f>+Calculos!L66</f>
        <v>0</v>
      </c>
      <c r="G83" s="67">
        <f>+Calculos!J66</f>
        <v>0</v>
      </c>
      <c r="H83" s="67">
        <f>+Calculos!K66</f>
        <v>0</v>
      </c>
      <c r="I83" s="68">
        <f t="shared" si="7"/>
        <v>0</v>
      </c>
      <c r="J83" s="69">
        <f t="shared" si="12"/>
        <v>0</v>
      </c>
      <c r="K83" s="67">
        <f t="shared" si="8"/>
        <v>0</v>
      </c>
      <c r="L83" s="67">
        <f t="shared" si="9"/>
        <v>0</v>
      </c>
      <c r="M83" s="70">
        <f t="shared" si="13"/>
        <v>0</v>
      </c>
      <c r="N83" s="68">
        <f>+MIN(H83+MAX(0,E83-Calculos!$I$6),$C$19-L83+MAX(0,E83-Calculos!$I$6),I83-F83)</f>
        <v>0</v>
      </c>
      <c r="O83" s="71">
        <f t="shared" si="10"/>
        <v>0</v>
      </c>
      <c r="P83" s="60"/>
    </row>
    <row r="84" spans="1:16" x14ac:dyDescent="0.25">
      <c r="A84" s="62"/>
      <c r="B84" s="64">
        <f t="shared" si="14"/>
        <v>62</v>
      </c>
      <c r="C84" s="3">
        <f>+Calculos!B66</f>
        <v>45270</v>
      </c>
      <c r="D84" s="17">
        <f t="shared" si="11"/>
        <v>30</v>
      </c>
      <c r="E84" s="65">
        <f>+Calculos!I67</f>
        <v>0</v>
      </c>
      <c r="F84" s="66">
        <f>+Calculos!L67</f>
        <v>0</v>
      </c>
      <c r="G84" s="67">
        <f>+Calculos!J67</f>
        <v>0</v>
      </c>
      <c r="H84" s="67">
        <f>+Calculos!K67</f>
        <v>0</v>
      </c>
      <c r="I84" s="68">
        <f t="shared" si="7"/>
        <v>0</v>
      </c>
      <c r="J84" s="69">
        <f t="shared" si="12"/>
        <v>0</v>
      </c>
      <c r="K84" s="67">
        <f t="shared" si="8"/>
        <v>0</v>
      </c>
      <c r="L84" s="67">
        <f t="shared" si="9"/>
        <v>0</v>
      </c>
      <c r="M84" s="70">
        <f t="shared" si="13"/>
        <v>0</v>
      </c>
      <c r="N84" s="68">
        <f>+MIN(H84+MAX(0,E84-Calculos!$I$6),$C$19-L84+MAX(0,E84-Calculos!$I$6),I84-F84)</f>
        <v>0</v>
      </c>
      <c r="O84" s="71">
        <f t="shared" si="10"/>
        <v>0</v>
      </c>
      <c r="P84" s="60"/>
    </row>
    <row r="85" spans="1:16" x14ac:dyDescent="0.25">
      <c r="A85" s="62"/>
      <c r="B85" s="64">
        <f t="shared" si="14"/>
        <v>63</v>
      </c>
      <c r="C85" s="3">
        <f>+Calculos!B67</f>
        <v>45301</v>
      </c>
      <c r="D85" s="17">
        <f t="shared" si="11"/>
        <v>31</v>
      </c>
      <c r="E85" s="65">
        <f>+Calculos!I68</f>
        <v>0</v>
      </c>
      <c r="F85" s="66">
        <f>+Calculos!L68</f>
        <v>0</v>
      </c>
      <c r="G85" s="67">
        <f>+Calculos!J68</f>
        <v>0</v>
      </c>
      <c r="H85" s="67">
        <f>+Calculos!K68</f>
        <v>0</v>
      </c>
      <c r="I85" s="68">
        <f t="shared" si="7"/>
        <v>0</v>
      </c>
      <c r="J85" s="69">
        <f t="shared" si="12"/>
        <v>0</v>
      </c>
      <c r="K85" s="67">
        <f t="shared" si="8"/>
        <v>0</v>
      </c>
      <c r="L85" s="67">
        <f t="shared" si="9"/>
        <v>0</v>
      </c>
      <c r="M85" s="70">
        <f t="shared" si="13"/>
        <v>0</v>
      </c>
      <c r="N85" s="68">
        <f>+MIN(H85+MAX(0,E85-Calculos!$I$6),$C$19-L85+MAX(0,E85-Calculos!$I$6),I85-F85)</f>
        <v>0</v>
      </c>
      <c r="O85" s="71">
        <f t="shared" si="10"/>
        <v>0</v>
      </c>
      <c r="P85" s="60"/>
    </row>
    <row r="86" spans="1:16" x14ac:dyDescent="0.25">
      <c r="A86" s="62"/>
      <c r="B86" s="64">
        <f t="shared" si="14"/>
        <v>64</v>
      </c>
      <c r="C86" s="3">
        <f>+Calculos!B68</f>
        <v>45332</v>
      </c>
      <c r="D86" s="17">
        <f t="shared" si="11"/>
        <v>31</v>
      </c>
      <c r="E86" s="65">
        <f>+Calculos!I69</f>
        <v>0</v>
      </c>
      <c r="F86" s="66">
        <f>+Calculos!L69</f>
        <v>0</v>
      </c>
      <c r="G86" s="67">
        <f>+Calculos!J69</f>
        <v>0</v>
      </c>
      <c r="H86" s="67">
        <f>+Calculos!K69</f>
        <v>0</v>
      </c>
      <c r="I86" s="68">
        <f t="shared" si="7"/>
        <v>0</v>
      </c>
      <c r="J86" s="69">
        <f t="shared" si="12"/>
        <v>0</v>
      </c>
      <c r="K86" s="67">
        <f t="shared" si="8"/>
        <v>0</v>
      </c>
      <c r="L86" s="67">
        <f t="shared" si="9"/>
        <v>0</v>
      </c>
      <c r="M86" s="70">
        <f t="shared" si="13"/>
        <v>0</v>
      </c>
      <c r="N86" s="68">
        <f>+MIN(H86+MAX(0,E86-Calculos!$I$6),$C$19-L86+MAX(0,E86-Calculos!$I$6),I86-F86)</f>
        <v>0</v>
      </c>
      <c r="O86" s="71">
        <f t="shared" si="10"/>
        <v>0</v>
      </c>
      <c r="P86" s="60"/>
    </row>
    <row r="87" spans="1:16" x14ac:dyDescent="0.25">
      <c r="A87" s="62"/>
      <c r="B87" s="64">
        <f t="shared" si="14"/>
        <v>65</v>
      </c>
      <c r="C87" s="3">
        <f>+Calculos!B69</f>
        <v>45361</v>
      </c>
      <c r="D87" s="17">
        <f t="shared" si="11"/>
        <v>29</v>
      </c>
      <c r="E87" s="65">
        <f>+Calculos!I70</f>
        <v>0</v>
      </c>
      <c r="F87" s="66">
        <f>+Calculos!L70</f>
        <v>0</v>
      </c>
      <c r="G87" s="67">
        <f>+Calculos!J70</f>
        <v>0</v>
      </c>
      <c r="H87" s="67">
        <f>+Calculos!K70</f>
        <v>0</v>
      </c>
      <c r="I87" s="68">
        <f t="shared" ref="I87:I118" si="15">+SUM(F87:H87)</f>
        <v>0</v>
      </c>
      <c r="J87" s="69">
        <f t="shared" si="12"/>
        <v>0</v>
      </c>
      <c r="K87" s="67">
        <f t="shared" ref="K87:K118" si="16">IF(AND(J87&gt;0),$C$14,0)</f>
        <v>0</v>
      </c>
      <c r="L87" s="67">
        <f t="shared" ref="L87:L118" si="17">+F87</f>
        <v>0</v>
      </c>
      <c r="M87" s="70">
        <f t="shared" si="13"/>
        <v>0</v>
      </c>
      <c r="N87" s="68">
        <f>+MIN(H87+MAX(0,E87-Calculos!$I$6),$C$19-L87+MAX(0,E87-Calculos!$I$6),I87-F87)</f>
        <v>0</v>
      </c>
      <c r="O87" s="71">
        <f t="shared" ref="O87:O118" si="18">+SUM(K87:N87)</f>
        <v>0</v>
      </c>
      <c r="P87" s="60"/>
    </row>
    <row r="88" spans="1:16" x14ac:dyDescent="0.25">
      <c r="A88" s="62"/>
      <c r="B88" s="64">
        <f t="shared" si="14"/>
        <v>66</v>
      </c>
      <c r="C88" s="3">
        <f>+Calculos!B70</f>
        <v>45392</v>
      </c>
      <c r="D88" s="17">
        <f t="shared" ref="D88:D119" si="19">+C88-C87</f>
        <v>31</v>
      </c>
      <c r="E88" s="65">
        <f>+Calculos!I71</f>
        <v>0</v>
      </c>
      <c r="F88" s="66">
        <f>+Calculos!L71</f>
        <v>0</v>
      </c>
      <c r="G88" s="67">
        <f>+Calculos!J71</f>
        <v>0</v>
      </c>
      <c r="H88" s="67">
        <f>+Calculos!K71</f>
        <v>0</v>
      </c>
      <c r="I88" s="68">
        <f t="shared" si="15"/>
        <v>0</v>
      </c>
      <c r="J88" s="69">
        <f t="shared" ref="J88:J119" si="20">IF(AND(J87-M87&lt;0.05,J87-M87&gt;-0.05),0,J87-M87)</f>
        <v>0</v>
      </c>
      <c r="K88" s="67">
        <f t="shared" si="16"/>
        <v>0</v>
      </c>
      <c r="L88" s="67">
        <f t="shared" si="17"/>
        <v>0</v>
      </c>
      <c r="M88" s="70">
        <f t="shared" ref="M88:M119" si="21">+I88-N88-L88</f>
        <v>0</v>
      </c>
      <c r="N88" s="68">
        <f>+MIN(H88+MAX(0,E88-Calculos!$I$6),$C$19-L88+MAX(0,E88-Calculos!$I$6),I88-F88)</f>
        <v>0</v>
      </c>
      <c r="O88" s="71">
        <f t="shared" si="18"/>
        <v>0</v>
      </c>
      <c r="P88" s="60"/>
    </row>
    <row r="89" spans="1:16" x14ac:dyDescent="0.25">
      <c r="A89" s="62"/>
      <c r="B89" s="64">
        <f t="shared" si="14"/>
        <v>67</v>
      </c>
      <c r="C89" s="3">
        <f>+Calculos!B71</f>
        <v>45422</v>
      </c>
      <c r="D89" s="17">
        <f t="shared" si="19"/>
        <v>30</v>
      </c>
      <c r="E89" s="65">
        <f>+Calculos!I72</f>
        <v>0</v>
      </c>
      <c r="F89" s="66">
        <f>+Calculos!L72</f>
        <v>0</v>
      </c>
      <c r="G89" s="67">
        <f>+Calculos!J72</f>
        <v>0</v>
      </c>
      <c r="H89" s="67">
        <f>+Calculos!K72</f>
        <v>0</v>
      </c>
      <c r="I89" s="68">
        <f t="shared" si="15"/>
        <v>0</v>
      </c>
      <c r="J89" s="69">
        <f t="shared" si="20"/>
        <v>0</v>
      </c>
      <c r="K89" s="67">
        <f t="shared" si="16"/>
        <v>0</v>
      </c>
      <c r="L89" s="67">
        <f t="shared" si="17"/>
        <v>0</v>
      </c>
      <c r="M89" s="70">
        <f t="shared" si="21"/>
        <v>0</v>
      </c>
      <c r="N89" s="68">
        <f>+MIN(H89+MAX(0,E89-Calculos!$I$6),$C$19-L89+MAX(0,E89-Calculos!$I$6),I89-F89)</f>
        <v>0</v>
      </c>
      <c r="O89" s="71">
        <f t="shared" si="18"/>
        <v>0</v>
      </c>
      <c r="P89" s="60"/>
    </row>
    <row r="90" spans="1:16" x14ac:dyDescent="0.25">
      <c r="A90" s="62"/>
      <c r="B90" s="64">
        <f t="shared" si="14"/>
        <v>68</v>
      </c>
      <c r="C90" s="3">
        <f>+Calculos!B72</f>
        <v>45453</v>
      </c>
      <c r="D90" s="17">
        <f t="shared" si="19"/>
        <v>31</v>
      </c>
      <c r="E90" s="65">
        <f>+Calculos!I73</f>
        <v>0</v>
      </c>
      <c r="F90" s="66">
        <f>+Calculos!L73</f>
        <v>0</v>
      </c>
      <c r="G90" s="67">
        <f>+Calculos!J73</f>
        <v>0</v>
      </c>
      <c r="H90" s="67">
        <f>+Calculos!K73</f>
        <v>0</v>
      </c>
      <c r="I90" s="68">
        <f t="shared" si="15"/>
        <v>0</v>
      </c>
      <c r="J90" s="69">
        <f t="shared" si="20"/>
        <v>0</v>
      </c>
      <c r="K90" s="67">
        <f t="shared" si="16"/>
        <v>0</v>
      </c>
      <c r="L90" s="67">
        <f t="shared" si="17"/>
        <v>0</v>
      </c>
      <c r="M90" s="70">
        <f t="shared" si="21"/>
        <v>0</v>
      </c>
      <c r="N90" s="68">
        <f>+MIN(H90+MAX(0,E90-Calculos!$I$6),$C$19-L90+MAX(0,E90-Calculos!$I$6),I90-F90)</f>
        <v>0</v>
      </c>
      <c r="O90" s="71">
        <f t="shared" si="18"/>
        <v>0</v>
      </c>
      <c r="P90" s="60"/>
    </row>
    <row r="91" spans="1:16" x14ac:dyDescent="0.25">
      <c r="A91" s="62"/>
      <c r="B91" s="64">
        <f t="shared" si="14"/>
        <v>69</v>
      </c>
      <c r="C91" s="3">
        <f>+Calculos!B73</f>
        <v>45483</v>
      </c>
      <c r="D91" s="17">
        <f t="shared" si="19"/>
        <v>30</v>
      </c>
      <c r="E91" s="65">
        <f>+Calculos!I74</f>
        <v>0</v>
      </c>
      <c r="F91" s="66">
        <f>+Calculos!L74</f>
        <v>0</v>
      </c>
      <c r="G91" s="67">
        <f>+Calculos!J74</f>
        <v>0</v>
      </c>
      <c r="H91" s="67">
        <f>+Calculos!K74</f>
        <v>0</v>
      </c>
      <c r="I91" s="68">
        <f t="shared" si="15"/>
        <v>0</v>
      </c>
      <c r="J91" s="69">
        <f t="shared" si="20"/>
        <v>0</v>
      </c>
      <c r="K91" s="67">
        <f t="shared" si="16"/>
        <v>0</v>
      </c>
      <c r="L91" s="67">
        <f t="shared" si="17"/>
        <v>0</v>
      </c>
      <c r="M91" s="70">
        <f t="shared" si="21"/>
        <v>0</v>
      </c>
      <c r="N91" s="68">
        <f>+MIN(H91+MAX(0,E91-Calculos!$I$6),$C$19-L91+MAX(0,E91-Calculos!$I$6),I91-F91)</f>
        <v>0</v>
      </c>
      <c r="O91" s="71">
        <f t="shared" si="18"/>
        <v>0</v>
      </c>
      <c r="P91" s="60"/>
    </row>
    <row r="92" spans="1:16" x14ac:dyDescent="0.25">
      <c r="A92" s="62"/>
      <c r="B92" s="64">
        <f t="shared" si="14"/>
        <v>70</v>
      </c>
      <c r="C92" s="3">
        <f>+Calculos!B74</f>
        <v>45514</v>
      </c>
      <c r="D92" s="17">
        <f t="shared" si="19"/>
        <v>31</v>
      </c>
      <c r="E92" s="65">
        <f>+Calculos!I75</f>
        <v>0</v>
      </c>
      <c r="F92" s="66">
        <f>+Calculos!L75</f>
        <v>0</v>
      </c>
      <c r="G92" s="67">
        <f>+Calculos!J75</f>
        <v>0</v>
      </c>
      <c r="H92" s="67">
        <f>+Calculos!K75</f>
        <v>0</v>
      </c>
      <c r="I92" s="68">
        <f t="shared" si="15"/>
        <v>0</v>
      </c>
      <c r="J92" s="69">
        <f t="shared" si="20"/>
        <v>0</v>
      </c>
      <c r="K92" s="67">
        <f t="shared" si="16"/>
        <v>0</v>
      </c>
      <c r="L92" s="67">
        <f t="shared" si="17"/>
        <v>0</v>
      </c>
      <c r="M92" s="70">
        <f t="shared" si="21"/>
        <v>0</v>
      </c>
      <c r="N92" s="68">
        <f>+MIN(H92+MAX(0,E92-Calculos!$I$6),$C$19-L92+MAX(0,E92-Calculos!$I$6),I92-F92)</f>
        <v>0</v>
      </c>
      <c r="O92" s="71">
        <f t="shared" si="18"/>
        <v>0</v>
      </c>
      <c r="P92" s="60"/>
    </row>
    <row r="93" spans="1:16" x14ac:dyDescent="0.25">
      <c r="A93" s="62"/>
      <c r="B93" s="64">
        <f t="shared" si="14"/>
        <v>71</v>
      </c>
      <c r="C93" s="3">
        <f>+Calculos!B75</f>
        <v>45545</v>
      </c>
      <c r="D93" s="17">
        <f t="shared" si="19"/>
        <v>31</v>
      </c>
      <c r="E93" s="65">
        <f>+Calculos!I76</f>
        <v>0</v>
      </c>
      <c r="F93" s="66">
        <f>+Calculos!L76</f>
        <v>0</v>
      </c>
      <c r="G93" s="67">
        <f>+Calculos!J76</f>
        <v>0</v>
      </c>
      <c r="H93" s="67">
        <f>+Calculos!K76</f>
        <v>0</v>
      </c>
      <c r="I93" s="68">
        <f t="shared" si="15"/>
        <v>0</v>
      </c>
      <c r="J93" s="69">
        <f t="shared" si="20"/>
        <v>0</v>
      </c>
      <c r="K93" s="67">
        <f t="shared" si="16"/>
        <v>0</v>
      </c>
      <c r="L93" s="67">
        <f t="shared" si="17"/>
        <v>0</v>
      </c>
      <c r="M93" s="70">
        <f t="shared" si="21"/>
        <v>0</v>
      </c>
      <c r="N93" s="68">
        <f>+MIN(H93+MAX(0,E93-Calculos!$I$6),$C$19-L93+MAX(0,E93-Calculos!$I$6),I93-F93)</f>
        <v>0</v>
      </c>
      <c r="O93" s="71">
        <f t="shared" si="18"/>
        <v>0</v>
      </c>
      <c r="P93" s="60"/>
    </row>
    <row r="94" spans="1:16" x14ac:dyDescent="0.25">
      <c r="A94" s="62"/>
      <c r="B94" s="64">
        <f t="shared" si="14"/>
        <v>72</v>
      </c>
      <c r="C94" s="3">
        <f>+Calculos!B76</f>
        <v>45575</v>
      </c>
      <c r="D94" s="17">
        <f t="shared" si="19"/>
        <v>30</v>
      </c>
      <c r="E94" s="65">
        <f>+Calculos!I77</f>
        <v>0</v>
      </c>
      <c r="F94" s="66">
        <f>+Calculos!L77</f>
        <v>0</v>
      </c>
      <c r="G94" s="67">
        <f>+Calculos!J77</f>
        <v>0</v>
      </c>
      <c r="H94" s="67">
        <f>+Calculos!K77</f>
        <v>0</v>
      </c>
      <c r="I94" s="68">
        <f t="shared" si="15"/>
        <v>0</v>
      </c>
      <c r="J94" s="69">
        <f t="shared" si="20"/>
        <v>0</v>
      </c>
      <c r="K94" s="67">
        <f t="shared" si="16"/>
        <v>0</v>
      </c>
      <c r="L94" s="67">
        <f t="shared" si="17"/>
        <v>0</v>
      </c>
      <c r="M94" s="70">
        <f t="shared" si="21"/>
        <v>0</v>
      </c>
      <c r="N94" s="68">
        <f>+MIN(H94+MAX(0,E94-Calculos!$I$6),$C$19-L94+MAX(0,E94-Calculos!$I$6),I94-F94)</f>
        <v>0</v>
      </c>
      <c r="O94" s="71">
        <f t="shared" si="18"/>
        <v>0</v>
      </c>
      <c r="P94" s="60"/>
    </row>
    <row r="95" spans="1:16" x14ac:dyDescent="0.25">
      <c r="A95" s="62"/>
      <c r="B95" s="64">
        <f t="shared" si="14"/>
        <v>73</v>
      </c>
      <c r="C95" s="3">
        <f>+Calculos!B77</f>
        <v>45606</v>
      </c>
      <c r="D95" s="17">
        <f t="shared" si="19"/>
        <v>31</v>
      </c>
      <c r="E95" s="65">
        <f>+Calculos!I78</f>
        <v>0</v>
      </c>
      <c r="F95" s="66">
        <f>+Calculos!L78</f>
        <v>0</v>
      </c>
      <c r="G95" s="67">
        <f>+Calculos!J78</f>
        <v>0</v>
      </c>
      <c r="H95" s="67">
        <f>+Calculos!K78</f>
        <v>0</v>
      </c>
      <c r="I95" s="68">
        <f t="shared" si="15"/>
        <v>0</v>
      </c>
      <c r="J95" s="69">
        <f t="shared" si="20"/>
        <v>0</v>
      </c>
      <c r="K95" s="67">
        <f t="shared" si="16"/>
        <v>0</v>
      </c>
      <c r="L95" s="67">
        <f t="shared" si="17"/>
        <v>0</v>
      </c>
      <c r="M95" s="70">
        <f t="shared" si="21"/>
        <v>0</v>
      </c>
      <c r="N95" s="68">
        <f>+MIN(H95+MAX(0,E95-Calculos!$I$6),$C$19-L95+MAX(0,E95-Calculos!$I$6),I95-F95)</f>
        <v>0</v>
      </c>
      <c r="O95" s="71">
        <f t="shared" si="18"/>
        <v>0</v>
      </c>
      <c r="P95" s="60"/>
    </row>
    <row r="96" spans="1:16" x14ac:dyDescent="0.25">
      <c r="A96" s="62"/>
      <c r="B96" s="64">
        <f t="shared" si="14"/>
        <v>74</v>
      </c>
      <c r="C96" s="3">
        <f>+Calculos!B78</f>
        <v>45636</v>
      </c>
      <c r="D96" s="17">
        <f t="shared" si="19"/>
        <v>30</v>
      </c>
      <c r="E96" s="65">
        <f>+Calculos!I79</f>
        <v>0</v>
      </c>
      <c r="F96" s="66">
        <f>+Calculos!L79</f>
        <v>0</v>
      </c>
      <c r="G96" s="67">
        <f>+Calculos!J79</f>
        <v>0</v>
      </c>
      <c r="H96" s="67">
        <f>+Calculos!K79</f>
        <v>0</v>
      </c>
      <c r="I96" s="68">
        <f t="shared" si="15"/>
        <v>0</v>
      </c>
      <c r="J96" s="69">
        <f t="shared" si="20"/>
        <v>0</v>
      </c>
      <c r="K96" s="67">
        <f t="shared" si="16"/>
        <v>0</v>
      </c>
      <c r="L96" s="67">
        <f t="shared" si="17"/>
        <v>0</v>
      </c>
      <c r="M96" s="70">
        <f t="shared" si="21"/>
        <v>0</v>
      </c>
      <c r="N96" s="68">
        <f>+MIN(H96+MAX(0,E96-Calculos!$I$6),$C$19-L96+MAX(0,E96-Calculos!$I$6),I96-F96)</f>
        <v>0</v>
      </c>
      <c r="O96" s="71">
        <f t="shared" si="18"/>
        <v>0</v>
      </c>
      <c r="P96" s="60"/>
    </row>
    <row r="97" spans="1:16" x14ac:dyDescent="0.25">
      <c r="A97" s="62"/>
      <c r="B97" s="64">
        <f t="shared" si="14"/>
        <v>75</v>
      </c>
      <c r="C97" s="3">
        <f>+Calculos!B79</f>
        <v>45667</v>
      </c>
      <c r="D97" s="17">
        <f t="shared" si="19"/>
        <v>31</v>
      </c>
      <c r="E97" s="65">
        <f>+Calculos!I80</f>
        <v>0</v>
      </c>
      <c r="F97" s="66">
        <f>+Calculos!L80</f>
        <v>0</v>
      </c>
      <c r="G97" s="67">
        <f>+Calculos!J80</f>
        <v>0</v>
      </c>
      <c r="H97" s="67">
        <f>+Calculos!K80</f>
        <v>0</v>
      </c>
      <c r="I97" s="68">
        <f t="shared" si="15"/>
        <v>0</v>
      </c>
      <c r="J97" s="69">
        <f t="shared" si="20"/>
        <v>0</v>
      </c>
      <c r="K97" s="67">
        <f t="shared" si="16"/>
        <v>0</v>
      </c>
      <c r="L97" s="67">
        <f t="shared" si="17"/>
        <v>0</v>
      </c>
      <c r="M97" s="70">
        <f t="shared" si="21"/>
        <v>0</v>
      </c>
      <c r="N97" s="68">
        <f>+MIN(H97+MAX(0,E97-Calculos!$I$6),$C$19-L97+MAX(0,E97-Calculos!$I$6),I97-F97)</f>
        <v>0</v>
      </c>
      <c r="O97" s="71">
        <f t="shared" si="18"/>
        <v>0</v>
      </c>
      <c r="P97" s="60"/>
    </row>
    <row r="98" spans="1:16" x14ac:dyDescent="0.25">
      <c r="A98" s="62"/>
      <c r="B98" s="64">
        <f t="shared" si="14"/>
        <v>76</v>
      </c>
      <c r="C98" s="3">
        <f>+Calculos!B80</f>
        <v>45698</v>
      </c>
      <c r="D98" s="17">
        <f t="shared" si="19"/>
        <v>31</v>
      </c>
      <c r="E98" s="65">
        <f>+Calculos!I81</f>
        <v>0</v>
      </c>
      <c r="F98" s="66">
        <f>+Calculos!L81</f>
        <v>0</v>
      </c>
      <c r="G98" s="67">
        <f>+Calculos!J81</f>
        <v>0</v>
      </c>
      <c r="H98" s="67">
        <f>+Calculos!K81</f>
        <v>0</v>
      </c>
      <c r="I98" s="68">
        <f t="shared" si="15"/>
        <v>0</v>
      </c>
      <c r="J98" s="69">
        <f t="shared" si="20"/>
        <v>0</v>
      </c>
      <c r="K98" s="67">
        <f t="shared" si="16"/>
        <v>0</v>
      </c>
      <c r="L98" s="67">
        <f t="shared" si="17"/>
        <v>0</v>
      </c>
      <c r="M98" s="70">
        <f t="shared" si="21"/>
        <v>0</v>
      </c>
      <c r="N98" s="68">
        <f>+MIN(H98+MAX(0,E98-Calculos!$I$6),$C$19-L98+MAX(0,E98-Calculos!$I$6),I98-F98)</f>
        <v>0</v>
      </c>
      <c r="O98" s="71">
        <f t="shared" si="18"/>
        <v>0</v>
      </c>
      <c r="P98" s="60"/>
    </row>
    <row r="99" spans="1:16" x14ac:dyDescent="0.25">
      <c r="A99" s="62"/>
      <c r="B99" s="64">
        <f t="shared" si="14"/>
        <v>77</v>
      </c>
      <c r="C99" s="3">
        <f>+Calculos!B81</f>
        <v>45726</v>
      </c>
      <c r="D99" s="17">
        <f t="shared" si="19"/>
        <v>28</v>
      </c>
      <c r="E99" s="65">
        <f>+Calculos!I82</f>
        <v>0</v>
      </c>
      <c r="F99" s="66">
        <f>+Calculos!L82</f>
        <v>0</v>
      </c>
      <c r="G99" s="67">
        <f>+Calculos!J82</f>
        <v>0</v>
      </c>
      <c r="H99" s="67">
        <f>+Calculos!K82</f>
        <v>0</v>
      </c>
      <c r="I99" s="68">
        <f t="shared" si="15"/>
        <v>0</v>
      </c>
      <c r="J99" s="69">
        <f t="shared" si="20"/>
        <v>0</v>
      </c>
      <c r="K99" s="67">
        <f t="shared" si="16"/>
        <v>0</v>
      </c>
      <c r="L99" s="67">
        <f t="shared" si="17"/>
        <v>0</v>
      </c>
      <c r="M99" s="70">
        <f t="shared" si="21"/>
        <v>0</v>
      </c>
      <c r="N99" s="68">
        <f>+MIN(H99+MAX(0,E99-Calculos!$I$6),$C$19-L99+MAX(0,E99-Calculos!$I$6),I99-F99)</f>
        <v>0</v>
      </c>
      <c r="O99" s="71">
        <f t="shared" si="18"/>
        <v>0</v>
      </c>
      <c r="P99" s="60"/>
    </row>
    <row r="100" spans="1:16" x14ac:dyDescent="0.25">
      <c r="A100" s="62"/>
      <c r="B100" s="64">
        <f t="shared" si="14"/>
        <v>78</v>
      </c>
      <c r="C100" s="3">
        <f>+Calculos!B82</f>
        <v>45757</v>
      </c>
      <c r="D100" s="17">
        <f t="shared" si="19"/>
        <v>31</v>
      </c>
      <c r="E100" s="65">
        <f>+Calculos!I83</f>
        <v>0</v>
      </c>
      <c r="F100" s="66">
        <f>+Calculos!L83</f>
        <v>0</v>
      </c>
      <c r="G100" s="67">
        <f>+Calculos!J83</f>
        <v>0</v>
      </c>
      <c r="H100" s="67">
        <f>+Calculos!K83</f>
        <v>0</v>
      </c>
      <c r="I100" s="68">
        <f t="shared" si="15"/>
        <v>0</v>
      </c>
      <c r="J100" s="69">
        <f t="shared" si="20"/>
        <v>0</v>
      </c>
      <c r="K100" s="67">
        <f t="shared" si="16"/>
        <v>0</v>
      </c>
      <c r="L100" s="67">
        <f t="shared" si="17"/>
        <v>0</v>
      </c>
      <c r="M100" s="70">
        <f t="shared" si="21"/>
        <v>0</v>
      </c>
      <c r="N100" s="68">
        <f>+MIN(H100+MAX(0,E100-Calculos!$I$6),$C$19-L100+MAX(0,E100-Calculos!$I$6),I100-F100)</f>
        <v>0</v>
      </c>
      <c r="O100" s="71">
        <f t="shared" si="18"/>
        <v>0</v>
      </c>
      <c r="P100" s="60"/>
    </row>
    <row r="101" spans="1:16" x14ac:dyDescent="0.25">
      <c r="A101" s="62"/>
      <c r="B101" s="64">
        <f t="shared" si="14"/>
        <v>79</v>
      </c>
      <c r="C101" s="3">
        <f>+Calculos!B83</f>
        <v>45787</v>
      </c>
      <c r="D101" s="17">
        <f t="shared" si="19"/>
        <v>30</v>
      </c>
      <c r="E101" s="65">
        <f>+Calculos!I84</f>
        <v>0</v>
      </c>
      <c r="F101" s="66">
        <f>+Calculos!L84</f>
        <v>0</v>
      </c>
      <c r="G101" s="67">
        <f>+Calculos!J84</f>
        <v>0</v>
      </c>
      <c r="H101" s="67">
        <f>+Calculos!K84</f>
        <v>0</v>
      </c>
      <c r="I101" s="68">
        <f t="shared" si="15"/>
        <v>0</v>
      </c>
      <c r="J101" s="69">
        <f t="shared" si="20"/>
        <v>0</v>
      </c>
      <c r="K101" s="67">
        <f t="shared" si="16"/>
        <v>0</v>
      </c>
      <c r="L101" s="67">
        <f t="shared" si="17"/>
        <v>0</v>
      </c>
      <c r="M101" s="70">
        <f t="shared" si="21"/>
        <v>0</v>
      </c>
      <c r="N101" s="68">
        <f>+MIN(H101+MAX(0,E101-Calculos!$I$6),$C$19-L101+MAX(0,E101-Calculos!$I$6),I101-F101)</f>
        <v>0</v>
      </c>
      <c r="O101" s="71">
        <f t="shared" si="18"/>
        <v>0</v>
      </c>
      <c r="P101" s="60"/>
    </row>
    <row r="102" spans="1:16" x14ac:dyDescent="0.25">
      <c r="A102" s="62"/>
      <c r="B102" s="64">
        <f t="shared" ref="B102:B134" si="22">+B101+1</f>
        <v>80</v>
      </c>
      <c r="C102" s="3">
        <f>+Calculos!B84</f>
        <v>45818</v>
      </c>
      <c r="D102" s="17">
        <f t="shared" si="19"/>
        <v>31</v>
      </c>
      <c r="E102" s="65">
        <f>+Calculos!I85</f>
        <v>0</v>
      </c>
      <c r="F102" s="66">
        <f>+Calculos!L85</f>
        <v>0</v>
      </c>
      <c r="G102" s="67">
        <f>+Calculos!J85</f>
        <v>0</v>
      </c>
      <c r="H102" s="67">
        <f>+Calculos!K85</f>
        <v>0</v>
      </c>
      <c r="I102" s="68">
        <f t="shared" si="15"/>
        <v>0</v>
      </c>
      <c r="J102" s="69">
        <f t="shared" si="20"/>
        <v>0</v>
      </c>
      <c r="K102" s="67">
        <f t="shared" si="16"/>
        <v>0</v>
      </c>
      <c r="L102" s="67">
        <f t="shared" si="17"/>
        <v>0</v>
      </c>
      <c r="M102" s="70">
        <f t="shared" si="21"/>
        <v>0</v>
      </c>
      <c r="N102" s="68">
        <f>+MIN(H102+MAX(0,E102-Calculos!$I$6),$C$19-L102+MAX(0,E102-Calculos!$I$6),I102-F102)</f>
        <v>0</v>
      </c>
      <c r="O102" s="71">
        <f t="shared" si="18"/>
        <v>0</v>
      </c>
      <c r="P102" s="60"/>
    </row>
    <row r="103" spans="1:16" x14ac:dyDescent="0.25">
      <c r="A103" s="62"/>
      <c r="B103" s="64">
        <f t="shared" si="22"/>
        <v>81</v>
      </c>
      <c r="C103" s="3">
        <f>+Calculos!B85</f>
        <v>45848</v>
      </c>
      <c r="D103" s="17">
        <f t="shared" si="19"/>
        <v>30</v>
      </c>
      <c r="E103" s="65">
        <f>+Calculos!I86</f>
        <v>0</v>
      </c>
      <c r="F103" s="66">
        <f>+Calculos!L86</f>
        <v>0</v>
      </c>
      <c r="G103" s="67">
        <f>+Calculos!J86</f>
        <v>0</v>
      </c>
      <c r="H103" s="67">
        <f>+Calculos!K86</f>
        <v>0</v>
      </c>
      <c r="I103" s="68">
        <f t="shared" si="15"/>
        <v>0</v>
      </c>
      <c r="J103" s="69">
        <f t="shared" si="20"/>
        <v>0</v>
      </c>
      <c r="K103" s="67">
        <f t="shared" si="16"/>
        <v>0</v>
      </c>
      <c r="L103" s="67">
        <f t="shared" si="17"/>
        <v>0</v>
      </c>
      <c r="M103" s="70">
        <f t="shared" si="21"/>
        <v>0</v>
      </c>
      <c r="N103" s="68">
        <f>+MIN(H103+MAX(0,E103-Calculos!$I$6),$C$19-L103+MAX(0,E103-Calculos!$I$6),I103-F103)</f>
        <v>0</v>
      </c>
      <c r="O103" s="71">
        <f t="shared" si="18"/>
        <v>0</v>
      </c>
      <c r="P103" s="60"/>
    </row>
    <row r="104" spans="1:16" x14ac:dyDescent="0.25">
      <c r="A104" s="62"/>
      <c r="B104" s="64">
        <f t="shared" si="22"/>
        <v>82</v>
      </c>
      <c r="C104" s="3">
        <f>+Calculos!B86</f>
        <v>45879</v>
      </c>
      <c r="D104" s="17">
        <f t="shared" si="19"/>
        <v>31</v>
      </c>
      <c r="E104" s="65">
        <f>+Calculos!I87</f>
        <v>0</v>
      </c>
      <c r="F104" s="66">
        <f>+Calculos!L87</f>
        <v>0</v>
      </c>
      <c r="G104" s="67">
        <f>+Calculos!J87</f>
        <v>0</v>
      </c>
      <c r="H104" s="67">
        <f>+Calculos!K87</f>
        <v>0</v>
      </c>
      <c r="I104" s="68">
        <f t="shared" si="15"/>
        <v>0</v>
      </c>
      <c r="J104" s="69">
        <f t="shared" si="20"/>
        <v>0</v>
      </c>
      <c r="K104" s="67">
        <f t="shared" si="16"/>
        <v>0</v>
      </c>
      <c r="L104" s="67">
        <f t="shared" si="17"/>
        <v>0</v>
      </c>
      <c r="M104" s="70">
        <f t="shared" si="21"/>
        <v>0</v>
      </c>
      <c r="N104" s="68">
        <f>+MIN(H104+MAX(0,E104-Calculos!$I$6),$C$19-L104+MAX(0,E104-Calculos!$I$6),I104-F104)</f>
        <v>0</v>
      </c>
      <c r="O104" s="71">
        <f t="shared" si="18"/>
        <v>0</v>
      </c>
      <c r="P104" s="60"/>
    </row>
    <row r="105" spans="1:16" x14ac:dyDescent="0.25">
      <c r="A105" s="62"/>
      <c r="B105" s="64">
        <f t="shared" si="22"/>
        <v>83</v>
      </c>
      <c r="C105" s="3">
        <f>+Calculos!B87</f>
        <v>45910</v>
      </c>
      <c r="D105" s="17">
        <f t="shared" si="19"/>
        <v>31</v>
      </c>
      <c r="E105" s="65">
        <f>+Calculos!I88</f>
        <v>0</v>
      </c>
      <c r="F105" s="66">
        <f>+Calculos!L88</f>
        <v>0</v>
      </c>
      <c r="G105" s="67">
        <f>+Calculos!J88</f>
        <v>0</v>
      </c>
      <c r="H105" s="67">
        <f>+Calculos!K88</f>
        <v>0</v>
      </c>
      <c r="I105" s="68">
        <f t="shared" si="15"/>
        <v>0</v>
      </c>
      <c r="J105" s="69">
        <f t="shared" si="20"/>
        <v>0</v>
      </c>
      <c r="K105" s="67">
        <f t="shared" si="16"/>
        <v>0</v>
      </c>
      <c r="L105" s="67">
        <f t="shared" si="17"/>
        <v>0</v>
      </c>
      <c r="M105" s="70">
        <f t="shared" si="21"/>
        <v>0</v>
      </c>
      <c r="N105" s="68">
        <f>+MIN(H105+MAX(0,E105-Calculos!$I$6),$C$19-L105+MAX(0,E105-Calculos!$I$6),I105-F105)</f>
        <v>0</v>
      </c>
      <c r="O105" s="71">
        <f t="shared" si="18"/>
        <v>0</v>
      </c>
      <c r="P105" s="60"/>
    </row>
    <row r="106" spans="1:16" x14ac:dyDescent="0.25">
      <c r="A106" s="62"/>
      <c r="B106" s="64">
        <f t="shared" si="22"/>
        <v>84</v>
      </c>
      <c r="C106" s="3">
        <f>+Calculos!B88</f>
        <v>45940</v>
      </c>
      <c r="D106" s="17">
        <f t="shared" si="19"/>
        <v>30</v>
      </c>
      <c r="E106" s="65">
        <f>+Calculos!I89</f>
        <v>0</v>
      </c>
      <c r="F106" s="66">
        <f>+Calculos!L89</f>
        <v>0</v>
      </c>
      <c r="G106" s="67">
        <f>+Calculos!J89</f>
        <v>0</v>
      </c>
      <c r="H106" s="67">
        <f>+Calculos!K89</f>
        <v>0</v>
      </c>
      <c r="I106" s="68">
        <f t="shared" si="15"/>
        <v>0</v>
      </c>
      <c r="J106" s="69">
        <f t="shared" si="20"/>
        <v>0</v>
      </c>
      <c r="K106" s="67">
        <f t="shared" si="16"/>
        <v>0</v>
      </c>
      <c r="L106" s="67">
        <f t="shared" si="17"/>
        <v>0</v>
      </c>
      <c r="M106" s="70">
        <f t="shared" si="21"/>
        <v>0</v>
      </c>
      <c r="N106" s="68">
        <f>+MIN(H106+MAX(0,E106-Calculos!$I$6),$C$19-L106+MAX(0,E106-Calculos!$I$6),I106-F106)</f>
        <v>0</v>
      </c>
      <c r="O106" s="71">
        <f t="shared" si="18"/>
        <v>0</v>
      </c>
      <c r="P106" s="60"/>
    </row>
    <row r="107" spans="1:16" x14ac:dyDescent="0.25">
      <c r="A107" s="62"/>
      <c r="B107" s="64">
        <f t="shared" si="22"/>
        <v>85</v>
      </c>
      <c r="C107" s="3">
        <f>+Calculos!B89</f>
        <v>45971</v>
      </c>
      <c r="D107" s="17">
        <f t="shared" si="19"/>
        <v>31</v>
      </c>
      <c r="E107" s="65">
        <f>+Calculos!I90</f>
        <v>0</v>
      </c>
      <c r="F107" s="66">
        <f>+Calculos!L90</f>
        <v>0</v>
      </c>
      <c r="G107" s="67">
        <f>+Calculos!J90</f>
        <v>0</v>
      </c>
      <c r="H107" s="67">
        <f>+Calculos!K90</f>
        <v>0</v>
      </c>
      <c r="I107" s="68">
        <f t="shared" si="15"/>
        <v>0</v>
      </c>
      <c r="J107" s="69">
        <f t="shared" si="20"/>
        <v>0</v>
      </c>
      <c r="K107" s="67">
        <f t="shared" si="16"/>
        <v>0</v>
      </c>
      <c r="L107" s="67">
        <f t="shared" si="17"/>
        <v>0</v>
      </c>
      <c r="M107" s="70">
        <f t="shared" si="21"/>
        <v>0</v>
      </c>
      <c r="N107" s="68">
        <f>+MIN(H107+MAX(0,E107-Calculos!$I$6),$C$19-L107+MAX(0,E107-Calculos!$I$6),I107-F107)</f>
        <v>0</v>
      </c>
      <c r="O107" s="71">
        <f t="shared" si="18"/>
        <v>0</v>
      </c>
      <c r="P107" s="60"/>
    </row>
    <row r="108" spans="1:16" x14ac:dyDescent="0.25">
      <c r="A108" s="62"/>
      <c r="B108" s="64">
        <f t="shared" si="22"/>
        <v>86</v>
      </c>
      <c r="C108" s="3">
        <f>+Calculos!B90</f>
        <v>46001</v>
      </c>
      <c r="D108" s="17">
        <f t="shared" si="19"/>
        <v>30</v>
      </c>
      <c r="E108" s="65">
        <f>+Calculos!I91</f>
        <v>0</v>
      </c>
      <c r="F108" s="66">
        <f>+Calculos!L91</f>
        <v>0</v>
      </c>
      <c r="G108" s="67">
        <f>+Calculos!J91</f>
        <v>0</v>
      </c>
      <c r="H108" s="67">
        <f>+Calculos!K91</f>
        <v>0</v>
      </c>
      <c r="I108" s="68">
        <f t="shared" si="15"/>
        <v>0</v>
      </c>
      <c r="J108" s="69">
        <f t="shared" si="20"/>
        <v>0</v>
      </c>
      <c r="K108" s="67">
        <f t="shared" si="16"/>
        <v>0</v>
      </c>
      <c r="L108" s="67">
        <f t="shared" si="17"/>
        <v>0</v>
      </c>
      <c r="M108" s="70">
        <f t="shared" si="21"/>
        <v>0</v>
      </c>
      <c r="N108" s="68">
        <f>+MIN(H108+MAX(0,E108-Calculos!$I$6),$C$19-L108+MAX(0,E108-Calculos!$I$6),I108-F108)</f>
        <v>0</v>
      </c>
      <c r="O108" s="71">
        <f t="shared" si="18"/>
        <v>0</v>
      </c>
      <c r="P108" s="60"/>
    </row>
    <row r="109" spans="1:16" x14ac:dyDescent="0.25">
      <c r="A109" s="62"/>
      <c r="B109" s="64">
        <f t="shared" si="22"/>
        <v>87</v>
      </c>
      <c r="C109" s="3">
        <f>+Calculos!B91</f>
        <v>46032</v>
      </c>
      <c r="D109" s="17">
        <f t="shared" si="19"/>
        <v>31</v>
      </c>
      <c r="E109" s="65">
        <f>+Calculos!I92</f>
        <v>0</v>
      </c>
      <c r="F109" s="66">
        <f>+Calculos!L92</f>
        <v>0</v>
      </c>
      <c r="G109" s="67">
        <f>+Calculos!J92</f>
        <v>0</v>
      </c>
      <c r="H109" s="67">
        <f>+Calculos!K92</f>
        <v>0</v>
      </c>
      <c r="I109" s="68">
        <f t="shared" si="15"/>
        <v>0</v>
      </c>
      <c r="J109" s="69">
        <f t="shared" si="20"/>
        <v>0</v>
      </c>
      <c r="K109" s="67">
        <f t="shared" si="16"/>
        <v>0</v>
      </c>
      <c r="L109" s="67">
        <f t="shared" si="17"/>
        <v>0</v>
      </c>
      <c r="M109" s="70">
        <f t="shared" si="21"/>
        <v>0</v>
      </c>
      <c r="N109" s="68">
        <f>+MIN(H109+MAX(0,E109-Calculos!$I$6),$C$19-L109+MAX(0,E109-Calculos!$I$6),I109-F109)</f>
        <v>0</v>
      </c>
      <c r="O109" s="71">
        <f t="shared" si="18"/>
        <v>0</v>
      </c>
      <c r="P109" s="60"/>
    </row>
    <row r="110" spans="1:16" x14ac:dyDescent="0.25">
      <c r="A110" s="62"/>
      <c r="B110" s="64">
        <f t="shared" si="22"/>
        <v>88</v>
      </c>
      <c r="C110" s="3">
        <f>+Calculos!B92</f>
        <v>46063</v>
      </c>
      <c r="D110" s="17">
        <f t="shared" si="19"/>
        <v>31</v>
      </c>
      <c r="E110" s="65">
        <f>+Calculos!I93</f>
        <v>0</v>
      </c>
      <c r="F110" s="66">
        <f>+Calculos!L93</f>
        <v>0</v>
      </c>
      <c r="G110" s="67">
        <f>+Calculos!J93</f>
        <v>0</v>
      </c>
      <c r="H110" s="67">
        <f>+Calculos!K93</f>
        <v>0</v>
      </c>
      <c r="I110" s="68">
        <f t="shared" si="15"/>
        <v>0</v>
      </c>
      <c r="J110" s="69">
        <f t="shared" si="20"/>
        <v>0</v>
      </c>
      <c r="K110" s="67">
        <f t="shared" si="16"/>
        <v>0</v>
      </c>
      <c r="L110" s="67">
        <f t="shared" si="17"/>
        <v>0</v>
      </c>
      <c r="M110" s="70">
        <f t="shared" si="21"/>
        <v>0</v>
      </c>
      <c r="N110" s="68">
        <f>+MIN(H110+MAX(0,E110-Calculos!$I$6),$C$19-L110+MAX(0,E110-Calculos!$I$6),I110-F110)</f>
        <v>0</v>
      </c>
      <c r="O110" s="71">
        <f t="shared" si="18"/>
        <v>0</v>
      </c>
      <c r="P110" s="60"/>
    </row>
    <row r="111" spans="1:16" x14ac:dyDescent="0.25">
      <c r="A111" s="62"/>
      <c r="B111" s="64">
        <f t="shared" si="22"/>
        <v>89</v>
      </c>
      <c r="C111" s="3">
        <f>+Calculos!B93</f>
        <v>46091</v>
      </c>
      <c r="D111" s="17">
        <f t="shared" si="19"/>
        <v>28</v>
      </c>
      <c r="E111" s="65">
        <f>+Calculos!I94</f>
        <v>0</v>
      </c>
      <c r="F111" s="66">
        <f>+Calculos!L94</f>
        <v>0</v>
      </c>
      <c r="G111" s="67">
        <f>+Calculos!J94</f>
        <v>0</v>
      </c>
      <c r="H111" s="67">
        <f>+Calculos!K94</f>
        <v>0</v>
      </c>
      <c r="I111" s="68">
        <f t="shared" si="15"/>
        <v>0</v>
      </c>
      <c r="J111" s="69">
        <f t="shared" si="20"/>
        <v>0</v>
      </c>
      <c r="K111" s="67">
        <f t="shared" si="16"/>
        <v>0</v>
      </c>
      <c r="L111" s="67">
        <f t="shared" si="17"/>
        <v>0</v>
      </c>
      <c r="M111" s="70">
        <f t="shared" si="21"/>
        <v>0</v>
      </c>
      <c r="N111" s="68">
        <f>+MIN(H111+MAX(0,E111-Calculos!$I$6),$C$19-L111+MAX(0,E111-Calculos!$I$6),I111-F111)</f>
        <v>0</v>
      </c>
      <c r="O111" s="71">
        <f t="shared" si="18"/>
        <v>0</v>
      </c>
      <c r="P111" s="60"/>
    </row>
    <row r="112" spans="1:16" x14ac:dyDescent="0.25">
      <c r="A112" s="62"/>
      <c r="B112" s="64">
        <f t="shared" si="22"/>
        <v>90</v>
      </c>
      <c r="C112" s="3">
        <f>+Calculos!B94</f>
        <v>46122</v>
      </c>
      <c r="D112" s="17">
        <f t="shared" si="19"/>
        <v>31</v>
      </c>
      <c r="E112" s="65">
        <f>+Calculos!I95</f>
        <v>0</v>
      </c>
      <c r="F112" s="66">
        <f>+Calculos!L95</f>
        <v>0</v>
      </c>
      <c r="G112" s="67">
        <f>+Calculos!J95</f>
        <v>0</v>
      </c>
      <c r="H112" s="67">
        <f>+Calculos!K95</f>
        <v>0</v>
      </c>
      <c r="I112" s="68">
        <f t="shared" si="15"/>
        <v>0</v>
      </c>
      <c r="J112" s="69">
        <f t="shared" si="20"/>
        <v>0</v>
      </c>
      <c r="K112" s="67">
        <f t="shared" si="16"/>
        <v>0</v>
      </c>
      <c r="L112" s="67">
        <f t="shared" si="17"/>
        <v>0</v>
      </c>
      <c r="M112" s="70">
        <f t="shared" si="21"/>
        <v>0</v>
      </c>
      <c r="N112" s="68">
        <f>+MIN(H112+MAX(0,E112-Calculos!$I$6),$C$19-L112+MAX(0,E112-Calculos!$I$6),I112-F112)</f>
        <v>0</v>
      </c>
      <c r="O112" s="71">
        <f t="shared" si="18"/>
        <v>0</v>
      </c>
      <c r="P112" s="60"/>
    </row>
    <row r="113" spans="1:16" x14ac:dyDescent="0.25">
      <c r="A113" s="62"/>
      <c r="B113" s="64">
        <f t="shared" si="22"/>
        <v>91</v>
      </c>
      <c r="C113" s="3">
        <f>+Calculos!B95</f>
        <v>46152</v>
      </c>
      <c r="D113" s="17">
        <f t="shared" si="19"/>
        <v>30</v>
      </c>
      <c r="E113" s="65">
        <f>+Calculos!I96</f>
        <v>0</v>
      </c>
      <c r="F113" s="66">
        <f>+Calculos!L96</f>
        <v>0</v>
      </c>
      <c r="G113" s="67">
        <f>+Calculos!J96</f>
        <v>0</v>
      </c>
      <c r="H113" s="67">
        <f>+Calculos!K96</f>
        <v>0</v>
      </c>
      <c r="I113" s="68">
        <f t="shared" si="15"/>
        <v>0</v>
      </c>
      <c r="J113" s="69">
        <f t="shared" si="20"/>
        <v>0</v>
      </c>
      <c r="K113" s="67">
        <f t="shared" si="16"/>
        <v>0</v>
      </c>
      <c r="L113" s="67">
        <f t="shared" si="17"/>
        <v>0</v>
      </c>
      <c r="M113" s="70">
        <f t="shared" si="21"/>
        <v>0</v>
      </c>
      <c r="N113" s="68">
        <f>+MIN(H113+MAX(0,E113-Calculos!$I$6),$C$19-L113+MAX(0,E113-Calculos!$I$6),I113-F113)</f>
        <v>0</v>
      </c>
      <c r="O113" s="71">
        <f t="shared" si="18"/>
        <v>0</v>
      </c>
      <c r="P113" s="60"/>
    </row>
    <row r="114" spans="1:16" x14ac:dyDescent="0.25">
      <c r="A114" s="62"/>
      <c r="B114" s="64">
        <f t="shared" si="22"/>
        <v>92</v>
      </c>
      <c r="C114" s="3">
        <f>+Calculos!B96</f>
        <v>46183</v>
      </c>
      <c r="D114" s="17">
        <f t="shared" si="19"/>
        <v>31</v>
      </c>
      <c r="E114" s="65">
        <f>+Calculos!I97</f>
        <v>0</v>
      </c>
      <c r="F114" s="66">
        <f>+Calculos!L97</f>
        <v>0</v>
      </c>
      <c r="G114" s="67">
        <f>+Calculos!J97</f>
        <v>0</v>
      </c>
      <c r="H114" s="67">
        <f>+Calculos!K97</f>
        <v>0</v>
      </c>
      <c r="I114" s="68">
        <f t="shared" si="15"/>
        <v>0</v>
      </c>
      <c r="J114" s="69">
        <f t="shared" si="20"/>
        <v>0</v>
      </c>
      <c r="K114" s="67">
        <f t="shared" si="16"/>
        <v>0</v>
      </c>
      <c r="L114" s="67">
        <f t="shared" si="17"/>
        <v>0</v>
      </c>
      <c r="M114" s="70">
        <f t="shared" si="21"/>
        <v>0</v>
      </c>
      <c r="N114" s="68">
        <f>+MIN(H114+MAX(0,E114-Calculos!$I$6),$C$19-L114+MAX(0,E114-Calculos!$I$6),I114-F114)</f>
        <v>0</v>
      </c>
      <c r="O114" s="71">
        <f t="shared" si="18"/>
        <v>0</v>
      </c>
      <c r="P114" s="60"/>
    </row>
    <row r="115" spans="1:16" x14ac:dyDescent="0.25">
      <c r="A115" s="62"/>
      <c r="B115" s="64">
        <f t="shared" si="22"/>
        <v>93</v>
      </c>
      <c r="C115" s="3">
        <f>+Calculos!B97</f>
        <v>46213</v>
      </c>
      <c r="D115" s="17">
        <f t="shared" si="19"/>
        <v>30</v>
      </c>
      <c r="E115" s="65">
        <f>+Calculos!I98</f>
        <v>0</v>
      </c>
      <c r="F115" s="66">
        <f>+Calculos!L98</f>
        <v>0</v>
      </c>
      <c r="G115" s="67">
        <f>+Calculos!J98</f>
        <v>0</v>
      </c>
      <c r="H115" s="67">
        <f>+Calculos!K98</f>
        <v>0</v>
      </c>
      <c r="I115" s="68">
        <f t="shared" si="15"/>
        <v>0</v>
      </c>
      <c r="J115" s="69">
        <f t="shared" si="20"/>
        <v>0</v>
      </c>
      <c r="K115" s="67">
        <f t="shared" si="16"/>
        <v>0</v>
      </c>
      <c r="L115" s="67">
        <f t="shared" si="17"/>
        <v>0</v>
      </c>
      <c r="M115" s="70">
        <f t="shared" si="21"/>
        <v>0</v>
      </c>
      <c r="N115" s="68">
        <f>+MIN(H115+MAX(0,E115-Calculos!$I$6),$C$19-L115+MAX(0,E115-Calculos!$I$6),I115-F115)</f>
        <v>0</v>
      </c>
      <c r="O115" s="71">
        <f t="shared" si="18"/>
        <v>0</v>
      </c>
      <c r="P115" s="60"/>
    </row>
    <row r="116" spans="1:16" x14ac:dyDescent="0.25">
      <c r="A116" s="62"/>
      <c r="B116" s="64">
        <f t="shared" si="22"/>
        <v>94</v>
      </c>
      <c r="C116" s="3">
        <f>+Calculos!B98</f>
        <v>46244</v>
      </c>
      <c r="D116" s="17">
        <f t="shared" si="19"/>
        <v>31</v>
      </c>
      <c r="E116" s="65">
        <f>+Calculos!I99</f>
        <v>0</v>
      </c>
      <c r="F116" s="66">
        <f>+Calculos!L99</f>
        <v>0</v>
      </c>
      <c r="G116" s="67">
        <f>+Calculos!J99</f>
        <v>0</v>
      </c>
      <c r="H116" s="67">
        <f>+Calculos!K99</f>
        <v>0</v>
      </c>
      <c r="I116" s="68">
        <f t="shared" si="15"/>
        <v>0</v>
      </c>
      <c r="J116" s="69">
        <f t="shared" si="20"/>
        <v>0</v>
      </c>
      <c r="K116" s="67">
        <f t="shared" si="16"/>
        <v>0</v>
      </c>
      <c r="L116" s="67">
        <f t="shared" si="17"/>
        <v>0</v>
      </c>
      <c r="M116" s="70">
        <f t="shared" si="21"/>
        <v>0</v>
      </c>
      <c r="N116" s="68">
        <f>+MIN(H116+MAX(0,E116-Calculos!$I$6),$C$19-L116+MAX(0,E116-Calculos!$I$6),I116-F116)</f>
        <v>0</v>
      </c>
      <c r="O116" s="71">
        <f t="shared" si="18"/>
        <v>0</v>
      </c>
      <c r="P116" s="60"/>
    </row>
    <row r="117" spans="1:16" x14ac:dyDescent="0.25">
      <c r="A117" s="62"/>
      <c r="B117" s="64">
        <f t="shared" si="22"/>
        <v>95</v>
      </c>
      <c r="C117" s="3">
        <f>+Calculos!B99</f>
        <v>46275</v>
      </c>
      <c r="D117" s="17">
        <f t="shared" si="19"/>
        <v>31</v>
      </c>
      <c r="E117" s="65">
        <f>+Calculos!I100</f>
        <v>0</v>
      </c>
      <c r="F117" s="66">
        <f>+Calculos!L100</f>
        <v>0</v>
      </c>
      <c r="G117" s="67">
        <f>+Calculos!J100</f>
        <v>0</v>
      </c>
      <c r="H117" s="67">
        <f>+Calculos!K100</f>
        <v>0</v>
      </c>
      <c r="I117" s="68">
        <f t="shared" si="15"/>
        <v>0</v>
      </c>
      <c r="J117" s="69">
        <f t="shared" si="20"/>
        <v>0</v>
      </c>
      <c r="K117" s="67">
        <f t="shared" si="16"/>
        <v>0</v>
      </c>
      <c r="L117" s="67">
        <f t="shared" si="17"/>
        <v>0</v>
      </c>
      <c r="M117" s="70">
        <f t="shared" si="21"/>
        <v>0</v>
      </c>
      <c r="N117" s="68">
        <f>+MIN(H117+MAX(0,E117-Calculos!$I$6),$C$19-L117+MAX(0,E117-Calculos!$I$6),I117-F117)</f>
        <v>0</v>
      </c>
      <c r="O117" s="71">
        <f t="shared" si="18"/>
        <v>0</v>
      </c>
      <c r="P117" s="60"/>
    </row>
    <row r="118" spans="1:16" x14ac:dyDescent="0.25">
      <c r="A118" s="62"/>
      <c r="B118" s="64">
        <f t="shared" si="22"/>
        <v>96</v>
      </c>
      <c r="C118" s="3">
        <f>+Calculos!B100</f>
        <v>46305</v>
      </c>
      <c r="D118" s="17">
        <f t="shared" si="19"/>
        <v>30</v>
      </c>
      <c r="E118" s="65">
        <f>+Calculos!I101</f>
        <v>0</v>
      </c>
      <c r="F118" s="66">
        <f>+Calculos!L101</f>
        <v>0</v>
      </c>
      <c r="G118" s="67">
        <f>+Calculos!J101</f>
        <v>0</v>
      </c>
      <c r="H118" s="67">
        <f>+Calculos!K101</f>
        <v>0</v>
      </c>
      <c r="I118" s="68">
        <f t="shared" si="15"/>
        <v>0</v>
      </c>
      <c r="J118" s="69">
        <f t="shared" si="20"/>
        <v>0</v>
      </c>
      <c r="K118" s="67">
        <f t="shared" si="16"/>
        <v>0</v>
      </c>
      <c r="L118" s="67">
        <f t="shared" si="17"/>
        <v>0</v>
      </c>
      <c r="M118" s="70">
        <f t="shared" si="21"/>
        <v>0</v>
      </c>
      <c r="N118" s="68">
        <f>+MIN(H118+MAX(0,E118-Calculos!$I$6),$C$19-L118+MAX(0,E118-Calculos!$I$6),I118-F118)</f>
        <v>0</v>
      </c>
      <c r="O118" s="71">
        <f t="shared" si="18"/>
        <v>0</v>
      </c>
      <c r="P118" s="60"/>
    </row>
    <row r="119" spans="1:16" x14ac:dyDescent="0.25">
      <c r="A119" s="62"/>
      <c r="B119" s="64">
        <f t="shared" si="22"/>
        <v>97</v>
      </c>
      <c r="C119" s="3">
        <f>+Calculos!B101</f>
        <v>46336</v>
      </c>
      <c r="D119" s="17">
        <f t="shared" si="19"/>
        <v>31</v>
      </c>
      <c r="E119" s="65">
        <f>+Calculos!I102</f>
        <v>0</v>
      </c>
      <c r="F119" s="66">
        <f>+Calculos!L102</f>
        <v>0</v>
      </c>
      <c r="G119" s="67">
        <f>+Calculos!J102</f>
        <v>0</v>
      </c>
      <c r="H119" s="67">
        <f>+Calculos!K102</f>
        <v>0</v>
      </c>
      <c r="I119" s="68">
        <f t="shared" ref="I119:I142" si="23">+SUM(F119:H119)</f>
        <v>0</v>
      </c>
      <c r="J119" s="69">
        <f t="shared" si="20"/>
        <v>0</v>
      </c>
      <c r="K119" s="67">
        <f t="shared" ref="K119:K142" si="24">IF(AND(J119&gt;0),$C$14,0)</f>
        <v>0</v>
      </c>
      <c r="L119" s="67">
        <f t="shared" ref="L119:L142" si="25">+F119</f>
        <v>0</v>
      </c>
      <c r="M119" s="70">
        <f t="shared" si="21"/>
        <v>0</v>
      </c>
      <c r="N119" s="68">
        <f>+MIN(H119+MAX(0,E119-Calculos!$I$6),$C$19-L119+MAX(0,E119-Calculos!$I$6),I119-F119)</f>
        <v>0</v>
      </c>
      <c r="O119" s="71">
        <f t="shared" ref="O119:O142" si="26">+SUM(K119:N119)</f>
        <v>0</v>
      </c>
      <c r="P119" s="60"/>
    </row>
    <row r="120" spans="1:16" x14ac:dyDescent="0.25">
      <c r="A120" s="62"/>
      <c r="B120" s="64">
        <f t="shared" si="22"/>
        <v>98</v>
      </c>
      <c r="C120" s="3">
        <f>+Calculos!B102</f>
        <v>46366</v>
      </c>
      <c r="D120" s="17">
        <f t="shared" ref="D120:D142" si="27">+C120-C119</f>
        <v>30</v>
      </c>
      <c r="E120" s="65">
        <f>+Calculos!I103</f>
        <v>0</v>
      </c>
      <c r="F120" s="66">
        <f>+Calculos!L103</f>
        <v>0</v>
      </c>
      <c r="G120" s="67">
        <f>+Calculos!J103</f>
        <v>0</v>
      </c>
      <c r="H120" s="67">
        <f>+Calculos!K103</f>
        <v>0</v>
      </c>
      <c r="I120" s="68">
        <f t="shared" si="23"/>
        <v>0</v>
      </c>
      <c r="J120" s="69">
        <f t="shared" ref="J120:J142" si="28">IF(AND(J119-M119&lt;0.05,J119-M119&gt;-0.05),0,J119-M119)</f>
        <v>0</v>
      </c>
      <c r="K120" s="67">
        <f t="shared" si="24"/>
        <v>0</v>
      </c>
      <c r="L120" s="67">
        <f t="shared" si="25"/>
        <v>0</v>
      </c>
      <c r="M120" s="70">
        <f t="shared" ref="M120:M142" si="29">+I120-N120-L120</f>
        <v>0</v>
      </c>
      <c r="N120" s="68">
        <f>+MIN(H120+MAX(0,E120-Calculos!$I$6),$C$19-L120+MAX(0,E120-Calculos!$I$6),I120-F120)</f>
        <v>0</v>
      </c>
      <c r="O120" s="71">
        <f t="shared" si="26"/>
        <v>0</v>
      </c>
      <c r="P120" s="60"/>
    </row>
    <row r="121" spans="1:16" x14ac:dyDescent="0.25">
      <c r="A121" s="62"/>
      <c r="B121" s="64">
        <f t="shared" si="22"/>
        <v>99</v>
      </c>
      <c r="C121" s="3">
        <f>+Calculos!B103</f>
        <v>46397</v>
      </c>
      <c r="D121" s="17">
        <f t="shared" si="27"/>
        <v>31</v>
      </c>
      <c r="E121" s="65">
        <f>+Calculos!I104</f>
        <v>0</v>
      </c>
      <c r="F121" s="66">
        <f>+Calculos!L104</f>
        <v>0</v>
      </c>
      <c r="G121" s="67">
        <f>+Calculos!J104</f>
        <v>0</v>
      </c>
      <c r="H121" s="67">
        <f>+Calculos!K104</f>
        <v>0</v>
      </c>
      <c r="I121" s="68">
        <f t="shared" si="23"/>
        <v>0</v>
      </c>
      <c r="J121" s="69">
        <f t="shared" si="28"/>
        <v>0</v>
      </c>
      <c r="K121" s="67">
        <f t="shared" si="24"/>
        <v>0</v>
      </c>
      <c r="L121" s="67">
        <f t="shared" si="25"/>
        <v>0</v>
      </c>
      <c r="M121" s="70">
        <f t="shared" si="29"/>
        <v>0</v>
      </c>
      <c r="N121" s="68">
        <f>+MIN(H121+MAX(0,E121-Calculos!$I$6),$C$19-L121+MAX(0,E121-Calculos!$I$6),I121-F121)</f>
        <v>0</v>
      </c>
      <c r="O121" s="71">
        <f t="shared" si="26"/>
        <v>0</v>
      </c>
      <c r="P121" s="60"/>
    </row>
    <row r="122" spans="1:16" x14ac:dyDescent="0.25">
      <c r="A122" s="62"/>
      <c r="B122" s="64">
        <f t="shared" si="22"/>
        <v>100</v>
      </c>
      <c r="C122" s="3">
        <f>+Calculos!B104</f>
        <v>46428</v>
      </c>
      <c r="D122" s="17">
        <f t="shared" si="27"/>
        <v>31</v>
      </c>
      <c r="E122" s="65">
        <f>+Calculos!I105</f>
        <v>0</v>
      </c>
      <c r="F122" s="66">
        <f>+Calculos!L105</f>
        <v>0</v>
      </c>
      <c r="G122" s="67">
        <f>+Calculos!J105</f>
        <v>0</v>
      </c>
      <c r="H122" s="67">
        <f>+Calculos!K105</f>
        <v>0</v>
      </c>
      <c r="I122" s="68">
        <f t="shared" si="23"/>
        <v>0</v>
      </c>
      <c r="J122" s="69">
        <f t="shared" si="28"/>
        <v>0</v>
      </c>
      <c r="K122" s="67">
        <f t="shared" si="24"/>
        <v>0</v>
      </c>
      <c r="L122" s="67">
        <f t="shared" si="25"/>
        <v>0</v>
      </c>
      <c r="M122" s="70">
        <f t="shared" si="29"/>
        <v>0</v>
      </c>
      <c r="N122" s="68">
        <f>+MIN(H122+MAX(0,E122-Calculos!$I$6),$C$19-L122+MAX(0,E122-Calculos!$I$6),I122-F122)</f>
        <v>0</v>
      </c>
      <c r="O122" s="71">
        <f t="shared" si="26"/>
        <v>0</v>
      </c>
      <c r="P122" s="60"/>
    </row>
    <row r="123" spans="1:16" x14ac:dyDescent="0.25">
      <c r="A123" s="62"/>
      <c r="B123" s="64">
        <f t="shared" si="22"/>
        <v>101</v>
      </c>
      <c r="C123" s="3">
        <f>+Calculos!B105</f>
        <v>46456</v>
      </c>
      <c r="D123" s="17">
        <f t="shared" si="27"/>
        <v>28</v>
      </c>
      <c r="E123" s="65">
        <f>+Calculos!I106</f>
        <v>0</v>
      </c>
      <c r="F123" s="66">
        <f>+Calculos!L106</f>
        <v>0</v>
      </c>
      <c r="G123" s="67">
        <f>+Calculos!J106</f>
        <v>0</v>
      </c>
      <c r="H123" s="67">
        <f>+Calculos!K106</f>
        <v>0</v>
      </c>
      <c r="I123" s="68">
        <f t="shared" si="23"/>
        <v>0</v>
      </c>
      <c r="J123" s="69">
        <f t="shared" si="28"/>
        <v>0</v>
      </c>
      <c r="K123" s="67">
        <f t="shared" si="24"/>
        <v>0</v>
      </c>
      <c r="L123" s="67">
        <f t="shared" si="25"/>
        <v>0</v>
      </c>
      <c r="M123" s="70">
        <f t="shared" si="29"/>
        <v>0</v>
      </c>
      <c r="N123" s="68">
        <f>+MIN(H123+MAX(0,E123-Calculos!$I$6),$C$19-L123+MAX(0,E123-Calculos!$I$6),I123-F123)</f>
        <v>0</v>
      </c>
      <c r="O123" s="71">
        <f t="shared" si="26"/>
        <v>0</v>
      </c>
      <c r="P123" s="60"/>
    </row>
    <row r="124" spans="1:16" x14ac:dyDescent="0.25">
      <c r="A124" s="62"/>
      <c r="B124" s="64">
        <f t="shared" si="22"/>
        <v>102</v>
      </c>
      <c r="C124" s="3">
        <f>+Calculos!B106</f>
        <v>46487</v>
      </c>
      <c r="D124" s="17">
        <f t="shared" si="27"/>
        <v>31</v>
      </c>
      <c r="E124" s="65">
        <f>+Calculos!I107</f>
        <v>0</v>
      </c>
      <c r="F124" s="66">
        <f>+Calculos!L107</f>
        <v>0</v>
      </c>
      <c r="G124" s="67">
        <f>+Calculos!J107</f>
        <v>0</v>
      </c>
      <c r="H124" s="67">
        <f>+Calculos!K107</f>
        <v>0</v>
      </c>
      <c r="I124" s="68">
        <f t="shared" si="23"/>
        <v>0</v>
      </c>
      <c r="J124" s="69">
        <f t="shared" si="28"/>
        <v>0</v>
      </c>
      <c r="K124" s="67">
        <f t="shared" si="24"/>
        <v>0</v>
      </c>
      <c r="L124" s="67">
        <f t="shared" si="25"/>
        <v>0</v>
      </c>
      <c r="M124" s="70">
        <f t="shared" si="29"/>
        <v>0</v>
      </c>
      <c r="N124" s="68">
        <f>+MIN(H124+MAX(0,E124-Calculos!$I$6),$C$19-L124+MAX(0,E124-Calculos!$I$6),I124-F124)</f>
        <v>0</v>
      </c>
      <c r="O124" s="71">
        <f t="shared" si="26"/>
        <v>0</v>
      </c>
      <c r="P124" s="60"/>
    </row>
    <row r="125" spans="1:16" x14ac:dyDescent="0.25">
      <c r="A125" s="62"/>
      <c r="B125" s="64">
        <f t="shared" si="22"/>
        <v>103</v>
      </c>
      <c r="C125" s="3">
        <f>+Calculos!B107</f>
        <v>46517</v>
      </c>
      <c r="D125" s="17">
        <f t="shared" si="27"/>
        <v>30</v>
      </c>
      <c r="E125" s="65">
        <f>+Calculos!I108</f>
        <v>0</v>
      </c>
      <c r="F125" s="66">
        <f>+Calculos!L108</f>
        <v>0</v>
      </c>
      <c r="G125" s="67">
        <f>+Calculos!J108</f>
        <v>0</v>
      </c>
      <c r="H125" s="67">
        <f>+Calculos!K108</f>
        <v>0</v>
      </c>
      <c r="I125" s="68">
        <f t="shared" si="23"/>
        <v>0</v>
      </c>
      <c r="J125" s="69">
        <f t="shared" si="28"/>
        <v>0</v>
      </c>
      <c r="K125" s="67">
        <f t="shared" si="24"/>
        <v>0</v>
      </c>
      <c r="L125" s="67">
        <f t="shared" si="25"/>
        <v>0</v>
      </c>
      <c r="M125" s="70">
        <f t="shared" si="29"/>
        <v>0</v>
      </c>
      <c r="N125" s="68">
        <f>+MIN(H125+MAX(0,E125-Calculos!$I$6),$C$19-L125+MAX(0,E125-Calculos!$I$6),I125-F125)</f>
        <v>0</v>
      </c>
      <c r="O125" s="71">
        <f t="shared" si="26"/>
        <v>0</v>
      </c>
      <c r="P125" s="60"/>
    </row>
    <row r="126" spans="1:16" x14ac:dyDescent="0.25">
      <c r="A126" s="62"/>
      <c r="B126" s="64">
        <f t="shared" si="22"/>
        <v>104</v>
      </c>
      <c r="C126" s="3">
        <f>+Calculos!B108</f>
        <v>46548</v>
      </c>
      <c r="D126" s="17">
        <f t="shared" si="27"/>
        <v>31</v>
      </c>
      <c r="E126" s="65">
        <f>+Calculos!I109</f>
        <v>0</v>
      </c>
      <c r="F126" s="66">
        <f>+Calculos!L109</f>
        <v>0</v>
      </c>
      <c r="G126" s="67">
        <f>+Calculos!J109</f>
        <v>0</v>
      </c>
      <c r="H126" s="67">
        <f>+Calculos!K109</f>
        <v>0</v>
      </c>
      <c r="I126" s="68">
        <f t="shared" si="23"/>
        <v>0</v>
      </c>
      <c r="J126" s="69">
        <f t="shared" si="28"/>
        <v>0</v>
      </c>
      <c r="K126" s="67">
        <f t="shared" si="24"/>
        <v>0</v>
      </c>
      <c r="L126" s="67">
        <f t="shared" si="25"/>
        <v>0</v>
      </c>
      <c r="M126" s="70">
        <f t="shared" si="29"/>
        <v>0</v>
      </c>
      <c r="N126" s="68">
        <f>+MIN(H126+MAX(0,E126-Calculos!$I$6),$C$19-L126+MAX(0,E126-Calculos!$I$6),I126-F126)</f>
        <v>0</v>
      </c>
      <c r="O126" s="71">
        <f t="shared" si="26"/>
        <v>0</v>
      </c>
      <c r="P126" s="60"/>
    </row>
    <row r="127" spans="1:16" x14ac:dyDescent="0.25">
      <c r="A127" s="62"/>
      <c r="B127" s="64">
        <f t="shared" si="22"/>
        <v>105</v>
      </c>
      <c r="C127" s="3">
        <f>+Calculos!B109</f>
        <v>46578</v>
      </c>
      <c r="D127" s="17">
        <f t="shared" si="27"/>
        <v>30</v>
      </c>
      <c r="E127" s="65">
        <f>+Calculos!I110</f>
        <v>0</v>
      </c>
      <c r="F127" s="66">
        <f>+Calculos!L110</f>
        <v>0</v>
      </c>
      <c r="G127" s="67">
        <f>+Calculos!J110</f>
        <v>0</v>
      </c>
      <c r="H127" s="67">
        <f>+Calculos!K110</f>
        <v>0</v>
      </c>
      <c r="I127" s="68">
        <f t="shared" si="23"/>
        <v>0</v>
      </c>
      <c r="J127" s="69">
        <f t="shared" si="28"/>
        <v>0</v>
      </c>
      <c r="K127" s="67">
        <f t="shared" si="24"/>
        <v>0</v>
      </c>
      <c r="L127" s="67">
        <f t="shared" si="25"/>
        <v>0</v>
      </c>
      <c r="M127" s="70">
        <f t="shared" si="29"/>
        <v>0</v>
      </c>
      <c r="N127" s="68">
        <f>+MIN(H127+MAX(0,E127-Calculos!$I$6),$C$19-L127+MAX(0,E127-Calculos!$I$6),I127-F127)</f>
        <v>0</v>
      </c>
      <c r="O127" s="71">
        <f t="shared" si="26"/>
        <v>0</v>
      </c>
      <c r="P127" s="60"/>
    </row>
    <row r="128" spans="1:16" x14ac:dyDescent="0.25">
      <c r="A128" s="62"/>
      <c r="B128" s="64">
        <f t="shared" si="22"/>
        <v>106</v>
      </c>
      <c r="C128" s="3">
        <f>+Calculos!B110</f>
        <v>46609</v>
      </c>
      <c r="D128" s="17">
        <f t="shared" si="27"/>
        <v>31</v>
      </c>
      <c r="E128" s="65">
        <f>+Calculos!I111</f>
        <v>0</v>
      </c>
      <c r="F128" s="66">
        <f>+Calculos!L111</f>
        <v>0</v>
      </c>
      <c r="G128" s="67">
        <f>+Calculos!J111</f>
        <v>0</v>
      </c>
      <c r="H128" s="67">
        <f>+Calculos!K111</f>
        <v>0</v>
      </c>
      <c r="I128" s="68">
        <f t="shared" si="23"/>
        <v>0</v>
      </c>
      <c r="J128" s="69">
        <f t="shared" si="28"/>
        <v>0</v>
      </c>
      <c r="K128" s="67">
        <f t="shared" si="24"/>
        <v>0</v>
      </c>
      <c r="L128" s="67">
        <f t="shared" si="25"/>
        <v>0</v>
      </c>
      <c r="M128" s="70">
        <f t="shared" si="29"/>
        <v>0</v>
      </c>
      <c r="N128" s="68">
        <f>+MIN(H128+MAX(0,E128-Calculos!$I$6),$C$19-L128+MAX(0,E128-Calculos!$I$6),I128-F128)</f>
        <v>0</v>
      </c>
      <c r="O128" s="71">
        <f t="shared" si="26"/>
        <v>0</v>
      </c>
      <c r="P128" s="60"/>
    </row>
    <row r="129" spans="1:16" x14ac:dyDescent="0.25">
      <c r="A129" s="62"/>
      <c r="B129" s="64">
        <f t="shared" si="22"/>
        <v>107</v>
      </c>
      <c r="C129" s="3">
        <f>+Calculos!B111</f>
        <v>46640</v>
      </c>
      <c r="D129" s="17">
        <f t="shared" si="27"/>
        <v>31</v>
      </c>
      <c r="E129" s="65">
        <f>+Calculos!I112</f>
        <v>0</v>
      </c>
      <c r="F129" s="66">
        <f>+Calculos!L112</f>
        <v>0</v>
      </c>
      <c r="G129" s="67">
        <f>+Calculos!J112</f>
        <v>0</v>
      </c>
      <c r="H129" s="67">
        <f>+Calculos!K112</f>
        <v>0</v>
      </c>
      <c r="I129" s="68">
        <f t="shared" si="23"/>
        <v>0</v>
      </c>
      <c r="J129" s="69">
        <f t="shared" si="28"/>
        <v>0</v>
      </c>
      <c r="K129" s="67">
        <f t="shared" si="24"/>
        <v>0</v>
      </c>
      <c r="L129" s="67">
        <f t="shared" si="25"/>
        <v>0</v>
      </c>
      <c r="M129" s="70">
        <f t="shared" si="29"/>
        <v>0</v>
      </c>
      <c r="N129" s="68">
        <f>+MIN(H129+MAX(0,E129-Calculos!$I$6),$C$19-L129+MAX(0,E129-Calculos!$I$6),I129-F129)</f>
        <v>0</v>
      </c>
      <c r="O129" s="71">
        <f t="shared" si="26"/>
        <v>0</v>
      </c>
      <c r="P129" s="60"/>
    </row>
    <row r="130" spans="1:16" x14ac:dyDescent="0.25">
      <c r="A130" s="62"/>
      <c r="B130" s="64">
        <f t="shared" si="22"/>
        <v>108</v>
      </c>
      <c r="C130" s="3">
        <f>+Calculos!B112</f>
        <v>46670</v>
      </c>
      <c r="D130" s="17">
        <f t="shared" si="27"/>
        <v>30</v>
      </c>
      <c r="E130" s="65">
        <f>+Calculos!I113</f>
        <v>0</v>
      </c>
      <c r="F130" s="66">
        <f>+Calculos!L113</f>
        <v>0</v>
      </c>
      <c r="G130" s="67">
        <f>+Calculos!J113</f>
        <v>0</v>
      </c>
      <c r="H130" s="67">
        <f>+Calculos!K113</f>
        <v>0</v>
      </c>
      <c r="I130" s="68">
        <f t="shared" si="23"/>
        <v>0</v>
      </c>
      <c r="J130" s="69">
        <f t="shared" si="28"/>
        <v>0</v>
      </c>
      <c r="K130" s="67">
        <f t="shared" si="24"/>
        <v>0</v>
      </c>
      <c r="L130" s="67">
        <f t="shared" si="25"/>
        <v>0</v>
      </c>
      <c r="M130" s="70">
        <f t="shared" si="29"/>
        <v>0</v>
      </c>
      <c r="N130" s="68">
        <f>+MIN(H130+MAX(0,E130-Calculos!$I$6),$C$19-L130+MAX(0,E130-Calculos!$I$6),I130-F130)</f>
        <v>0</v>
      </c>
      <c r="O130" s="71">
        <f t="shared" si="26"/>
        <v>0</v>
      </c>
      <c r="P130" s="60"/>
    </row>
    <row r="131" spans="1:16" x14ac:dyDescent="0.25">
      <c r="A131" s="62"/>
      <c r="B131" s="64">
        <f t="shared" si="22"/>
        <v>109</v>
      </c>
      <c r="C131" s="3">
        <f>+Calculos!B113</f>
        <v>46701</v>
      </c>
      <c r="D131" s="17">
        <f t="shared" si="27"/>
        <v>31</v>
      </c>
      <c r="E131" s="65">
        <f>+Calculos!I114</f>
        <v>0</v>
      </c>
      <c r="F131" s="66">
        <f>+Calculos!L114</f>
        <v>0</v>
      </c>
      <c r="G131" s="67">
        <f>+Calculos!J114</f>
        <v>0</v>
      </c>
      <c r="H131" s="67">
        <f>+Calculos!K114</f>
        <v>0</v>
      </c>
      <c r="I131" s="68">
        <f t="shared" si="23"/>
        <v>0</v>
      </c>
      <c r="J131" s="69">
        <f t="shared" si="28"/>
        <v>0</v>
      </c>
      <c r="K131" s="67">
        <f t="shared" si="24"/>
        <v>0</v>
      </c>
      <c r="L131" s="67">
        <f t="shared" si="25"/>
        <v>0</v>
      </c>
      <c r="M131" s="70">
        <f t="shared" si="29"/>
        <v>0</v>
      </c>
      <c r="N131" s="68">
        <f>+MIN(H131+MAX(0,E131-Calculos!$I$6),$C$19-L131+MAX(0,E131-Calculos!$I$6),I131-F131)</f>
        <v>0</v>
      </c>
      <c r="O131" s="71">
        <f t="shared" si="26"/>
        <v>0</v>
      </c>
      <c r="P131" s="60"/>
    </row>
    <row r="132" spans="1:16" x14ac:dyDescent="0.25">
      <c r="A132" s="62"/>
      <c r="B132" s="64">
        <f t="shared" si="22"/>
        <v>110</v>
      </c>
      <c r="C132" s="3">
        <f>+Calculos!B114</f>
        <v>46731</v>
      </c>
      <c r="D132" s="17">
        <f t="shared" si="27"/>
        <v>30</v>
      </c>
      <c r="E132" s="65">
        <f>+Calculos!I115</f>
        <v>0</v>
      </c>
      <c r="F132" s="66">
        <f>+Calculos!L115</f>
        <v>0</v>
      </c>
      <c r="G132" s="67">
        <f>+Calculos!J115</f>
        <v>0</v>
      </c>
      <c r="H132" s="67">
        <f>+Calculos!K115</f>
        <v>0</v>
      </c>
      <c r="I132" s="68">
        <f t="shared" si="23"/>
        <v>0</v>
      </c>
      <c r="J132" s="69">
        <f t="shared" si="28"/>
        <v>0</v>
      </c>
      <c r="K132" s="67">
        <f t="shared" si="24"/>
        <v>0</v>
      </c>
      <c r="L132" s="67">
        <f t="shared" si="25"/>
        <v>0</v>
      </c>
      <c r="M132" s="70">
        <f t="shared" si="29"/>
        <v>0</v>
      </c>
      <c r="N132" s="68">
        <f>+MIN(H132+MAX(0,E132-Calculos!$I$6),$C$19-L132+MAX(0,E132-Calculos!$I$6),I132-F132)</f>
        <v>0</v>
      </c>
      <c r="O132" s="71">
        <f t="shared" si="26"/>
        <v>0</v>
      </c>
      <c r="P132" s="60"/>
    </row>
    <row r="133" spans="1:16" x14ac:dyDescent="0.25">
      <c r="A133" s="62"/>
      <c r="B133" s="64">
        <f t="shared" si="22"/>
        <v>111</v>
      </c>
      <c r="C133" s="3">
        <f>+Calculos!B115</f>
        <v>46762</v>
      </c>
      <c r="D133" s="17">
        <f t="shared" si="27"/>
        <v>31</v>
      </c>
      <c r="E133" s="65">
        <f>+Calculos!I116</f>
        <v>0</v>
      </c>
      <c r="F133" s="66">
        <f>+Calculos!L116</f>
        <v>0</v>
      </c>
      <c r="G133" s="67">
        <f>+Calculos!J116</f>
        <v>0</v>
      </c>
      <c r="H133" s="67">
        <f>+Calculos!K116</f>
        <v>0</v>
      </c>
      <c r="I133" s="68">
        <f t="shared" si="23"/>
        <v>0</v>
      </c>
      <c r="J133" s="69">
        <f t="shared" si="28"/>
        <v>0</v>
      </c>
      <c r="K133" s="67">
        <f t="shared" si="24"/>
        <v>0</v>
      </c>
      <c r="L133" s="67">
        <f t="shared" si="25"/>
        <v>0</v>
      </c>
      <c r="M133" s="70">
        <f t="shared" si="29"/>
        <v>0</v>
      </c>
      <c r="N133" s="68">
        <f>+MIN(H133+MAX(0,E133-Calculos!$I$6),$C$19-L133+MAX(0,E133-Calculos!$I$6),I133-F133)</f>
        <v>0</v>
      </c>
      <c r="O133" s="71">
        <f t="shared" si="26"/>
        <v>0</v>
      </c>
      <c r="P133" s="60"/>
    </row>
    <row r="134" spans="1:16" x14ac:dyDescent="0.25">
      <c r="A134" s="62"/>
      <c r="B134" s="64">
        <f t="shared" si="22"/>
        <v>112</v>
      </c>
      <c r="C134" s="3">
        <f>+Calculos!B116</f>
        <v>46793</v>
      </c>
      <c r="D134" s="17">
        <f t="shared" si="27"/>
        <v>31</v>
      </c>
      <c r="E134" s="65">
        <f>+Calculos!I117</f>
        <v>0</v>
      </c>
      <c r="F134" s="66">
        <f>+Calculos!L117</f>
        <v>0</v>
      </c>
      <c r="G134" s="67">
        <f>+Calculos!J117</f>
        <v>0</v>
      </c>
      <c r="H134" s="67">
        <f>+Calculos!K117</f>
        <v>0</v>
      </c>
      <c r="I134" s="68">
        <f t="shared" si="23"/>
        <v>0</v>
      </c>
      <c r="J134" s="69">
        <f t="shared" si="28"/>
        <v>0</v>
      </c>
      <c r="K134" s="67">
        <f t="shared" si="24"/>
        <v>0</v>
      </c>
      <c r="L134" s="67">
        <f t="shared" si="25"/>
        <v>0</v>
      </c>
      <c r="M134" s="70">
        <f t="shared" si="29"/>
        <v>0</v>
      </c>
      <c r="N134" s="68">
        <f>+MIN(H134+MAX(0,E134-Calculos!$I$6),$C$19-L134+MAX(0,E134-Calculos!$I$6),I134-F134)</f>
        <v>0</v>
      </c>
      <c r="O134" s="71">
        <f t="shared" si="26"/>
        <v>0</v>
      </c>
      <c r="P134" s="60"/>
    </row>
    <row r="135" spans="1:16" x14ac:dyDescent="0.25">
      <c r="A135" s="62"/>
      <c r="B135" s="64">
        <f t="shared" ref="B135:B142" si="30">+B134+1</f>
        <v>113</v>
      </c>
      <c r="C135" s="3">
        <f>+Calculos!B117</f>
        <v>46822</v>
      </c>
      <c r="D135" s="17">
        <f t="shared" si="27"/>
        <v>29</v>
      </c>
      <c r="E135" s="65">
        <f>+Calculos!I118</f>
        <v>0</v>
      </c>
      <c r="F135" s="66">
        <f>+Calculos!L118</f>
        <v>0</v>
      </c>
      <c r="G135" s="67">
        <f>+Calculos!J118</f>
        <v>0</v>
      </c>
      <c r="H135" s="67">
        <f>+Calculos!K118</f>
        <v>0</v>
      </c>
      <c r="I135" s="68">
        <f t="shared" si="23"/>
        <v>0</v>
      </c>
      <c r="J135" s="69">
        <f t="shared" si="28"/>
        <v>0</v>
      </c>
      <c r="K135" s="67">
        <f t="shared" si="24"/>
        <v>0</v>
      </c>
      <c r="L135" s="67">
        <f t="shared" si="25"/>
        <v>0</v>
      </c>
      <c r="M135" s="70">
        <f t="shared" si="29"/>
        <v>0</v>
      </c>
      <c r="N135" s="68">
        <f>+MIN(H135+MAX(0,E135-Calculos!$I$6),$C$19-L135+MAX(0,E135-Calculos!$I$6),I135-F135)</f>
        <v>0</v>
      </c>
      <c r="O135" s="71">
        <f t="shared" si="26"/>
        <v>0</v>
      </c>
      <c r="P135" s="60"/>
    </row>
    <row r="136" spans="1:16" x14ac:dyDescent="0.25">
      <c r="A136" s="62"/>
      <c r="B136" s="64">
        <f t="shared" si="30"/>
        <v>114</v>
      </c>
      <c r="C136" s="3">
        <f>+Calculos!B118</f>
        <v>46853</v>
      </c>
      <c r="D136" s="17">
        <f t="shared" si="27"/>
        <v>31</v>
      </c>
      <c r="E136" s="65">
        <f>+Calculos!I119</f>
        <v>0</v>
      </c>
      <c r="F136" s="66">
        <f>+Calculos!L119</f>
        <v>0</v>
      </c>
      <c r="G136" s="67">
        <f>+Calculos!J119</f>
        <v>0</v>
      </c>
      <c r="H136" s="67">
        <f>+Calculos!K119</f>
        <v>0</v>
      </c>
      <c r="I136" s="68">
        <f t="shared" si="23"/>
        <v>0</v>
      </c>
      <c r="J136" s="69">
        <f t="shared" si="28"/>
        <v>0</v>
      </c>
      <c r="K136" s="67">
        <f t="shared" si="24"/>
        <v>0</v>
      </c>
      <c r="L136" s="67">
        <f t="shared" si="25"/>
        <v>0</v>
      </c>
      <c r="M136" s="70">
        <f t="shared" si="29"/>
        <v>0</v>
      </c>
      <c r="N136" s="68">
        <f>+MIN(H136+MAX(0,E136-Calculos!$I$6),$C$19-L136+MAX(0,E136-Calculos!$I$6),I136-F136)</f>
        <v>0</v>
      </c>
      <c r="O136" s="71">
        <f t="shared" si="26"/>
        <v>0</v>
      </c>
      <c r="P136" s="60"/>
    </row>
    <row r="137" spans="1:16" x14ac:dyDescent="0.25">
      <c r="A137" s="62"/>
      <c r="B137" s="64">
        <f t="shared" si="30"/>
        <v>115</v>
      </c>
      <c r="C137" s="3">
        <f>+Calculos!B119</f>
        <v>46883</v>
      </c>
      <c r="D137" s="17">
        <f t="shared" si="27"/>
        <v>30</v>
      </c>
      <c r="E137" s="65">
        <f>+Calculos!I120</f>
        <v>0</v>
      </c>
      <c r="F137" s="66">
        <f>+Calculos!L120</f>
        <v>0</v>
      </c>
      <c r="G137" s="67">
        <f>+Calculos!J120</f>
        <v>0</v>
      </c>
      <c r="H137" s="67">
        <f>+Calculos!K120</f>
        <v>0</v>
      </c>
      <c r="I137" s="68">
        <f t="shared" si="23"/>
        <v>0</v>
      </c>
      <c r="J137" s="69">
        <f t="shared" si="28"/>
        <v>0</v>
      </c>
      <c r="K137" s="67">
        <f t="shared" si="24"/>
        <v>0</v>
      </c>
      <c r="L137" s="67">
        <f t="shared" si="25"/>
        <v>0</v>
      </c>
      <c r="M137" s="70">
        <f t="shared" si="29"/>
        <v>0</v>
      </c>
      <c r="N137" s="68">
        <f>+MIN(H137+MAX(0,E137-Calculos!$I$6),$C$19-L137+MAX(0,E137-Calculos!$I$6),I137-F137)</f>
        <v>0</v>
      </c>
      <c r="O137" s="71">
        <f t="shared" si="26"/>
        <v>0</v>
      </c>
      <c r="P137" s="60"/>
    </row>
    <row r="138" spans="1:16" x14ac:dyDescent="0.25">
      <c r="A138" s="62"/>
      <c r="B138" s="64">
        <f t="shared" si="30"/>
        <v>116</v>
      </c>
      <c r="C138" s="3">
        <f>+Calculos!B120</f>
        <v>46914</v>
      </c>
      <c r="D138" s="17">
        <f t="shared" si="27"/>
        <v>31</v>
      </c>
      <c r="E138" s="65">
        <f>+Calculos!I121</f>
        <v>0</v>
      </c>
      <c r="F138" s="66">
        <f>+Calculos!L121</f>
        <v>0</v>
      </c>
      <c r="G138" s="67">
        <f>+Calculos!J121</f>
        <v>0</v>
      </c>
      <c r="H138" s="67">
        <f>+Calculos!K121</f>
        <v>0</v>
      </c>
      <c r="I138" s="68">
        <f t="shared" si="23"/>
        <v>0</v>
      </c>
      <c r="J138" s="69">
        <f t="shared" si="28"/>
        <v>0</v>
      </c>
      <c r="K138" s="67">
        <f t="shared" si="24"/>
        <v>0</v>
      </c>
      <c r="L138" s="67">
        <f t="shared" si="25"/>
        <v>0</v>
      </c>
      <c r="M138" s="70">
        <f t="shared" si="29"/>
        <v>0</v>
      </c>
      <c r="N138" s="68">
        <f>+MIN(H138+MAX(0,E138-Calculos!$I$6),$C$19-L138+MAX(0,E138-Calculos!$I$6),I138-F138)</f>
        <v>0</v>
      </c>
      <c r="O138" s="71">
        <f t="shared" si="26"/>
        <v>0</v>
      </c>
      <c r="P138" s="60"/>
    </row>
    <row r="139" spans="1:16" x14ac:dyDescent="0.25">
      <c r="A139" s="62"/>
      <c r="B139" s="64">
        <f t="shared" si="30"/>
        <v>117</v>
      </c>
      <c r="C139" s="3">
        <f>+Calculos!B121</f>
        <v>46944</v>
      </c>
      <c r="D139" s="17">
        <f t="shared" si="27"/>
        <v>30</v>
      </c>
      <c r="E139" s="65">
        <f>+Calculos!I122</f>
        <v>0</v>
      </c>
      <c r="F139" s="66">
        <f>+Calculos!L122</f>
        <v>0</v>
      </c>
      <c r="G139" s="67">
        <f>+Calculos!J122</f>
        <v>0</v>
      </c>
      <c r="H139" s="67">
        <f>+Calculos!K122</f>
        <v>0</v>
      </c>
      <c r="I139" s="68">
        <f t="shared" si="23"/>
        <v>0</v>
      </c>
      <c r="J139" s="69">
        <f t="shared" si="28"/>
        <v>0</v>
      </c>
      <c r="K139" s="67">
        <f t="shared" si="24"/>
        <v>0</v>
      </c>
      <c r="L139" s="67">
        <f t="shared" si="25"/>
        <v>0</v>
      </c>
      <c r="M139" s="70">
        <f t="shared" si="29"/>
        <v>0</v>
      </c>
      <c r="N139" s="68">
        <f>+MIN(H139+MAX(0,E139-Calculos!$I$6),$C$19-L139+MAX(0,E139-Calculos!$I$6),I139-F139)</f>
        <v>0</v>
      </c>
      <c r="O139" s="71">
        <f t="shared" si="26"/>
        <v>0</v>
      </c>
      <c r="P139" s="60"/>
    </row>
    <row r="140" spans="1:16" x14ac:dyDescent="0.25">
      <c r="A140" s="62"/>
      <c r="B140" s="64">
        <f t="shared" si="30"/>
        <v>118</v>
      </c>
      <c r="C140" s="3">
        <f>+Calculos!B122</f>
        <v>46975</v>
      </c>
      <c r="D140" s="17">
        <f t="shared" si="27"/>
        <v>31</v>
      </c>
      <c r="E140" s="65">
        <f>+Calculos!I123</f>
        <v>0</v>
      </c>
      <c r="F140" s="66">
        <f>+Calculos!L123</f>
        <v>0</v>
      </c>
      <c r="G140" s="67">
        <f>+Calculos!J123</f>
        <v>0</v>
      </c>
      <c r="H140" s="67">
        <f>+Calculos!K123</f>
        <v>0</v>
      </c>
      <c r="I140" s="68">
        <f t="shared" si="23"/>
        <v>0</v>
      </c>
      <c r="J140" s="69">
        <f t="shared" si="28"/>
        <v>0</v>
      </c>
      <c r="K140" s="67">
        <f t="shared" si="24"/>
        <v>0</v>
      </c>
      <c r="L140" s="67">
        <f t="shared" si="25"/>
        <v>0</v>
      </c>
      <c r="M140" s="70">
        <f t="shared" si="29"/>
        <v>0</v>
      </c>
      <c r="N140" s="68">
        <f>+MIN(H140+MAX(0,E140-Calculos!$I$6),$C$19-L140+MAX(0,E140-Calculos!$I$6),I140-F140)</f>
        <v>0</v>
      </c>
      <c r="O140" s="71">
        <f t="shared" si="26"/>
        <v>0</v>
      </c>
      <c r="P140" s="60"/>
    </row>
    <row r="141" spans="1:16" x14ac:dyDescent="0.25">
      <c r="A141" s="62"/>
      <c r="B141" s="64">
        <f t="shared" si="30"/>
        <v>119</v>
      </c>
      <c r="C141" s="3">
        <f>+Calculos!B123</f>
        <v>47006</v>
      </c>
      <c r="D141" s="17">
        <f t="shared" si="27"/>
        <v>31</v>
      </c>
      <c r="E141" s="65">
        <f>+Calculos!I124</f>
        <v>0</v>
      </c>
      <c r="F141" s="66">
        <f>+Calculos!L124</f>
        <v>0</v>
      </c>
      <c r="G141" s="67">
        <f>+Calculos!J124</f>
        <v>0</v>
      </c>
      <c r="H141" s="67">
        <f>+Calculos!K124</f>
        <v>0</v>
      </c>
      <c r="I141" s="68">
        <f t="shared" si="23"/>
        <v>0</v>
      </c>
      <c r="J141" s="69">
        <f t="shared" si="28"/>
        <v>0</v>
      </c>
      <c r="K141" s="67">
        <f t="shared" si="24"/>
        <v>0</v>
      </c>
      <c r="L141" s="67">
        <f t="shared" si="25"/>
        <v>0</v>
      </c>
      <c r="M141" s="70">
        <f t="shared" si="29"/>
        <v>0</v>
      </c>
      <c r="N141" s="68">
        <f>+MIN(H141+MAX(0,E141-Calculos!$I$6),$C$19-L141+MAX(0,E141-Calculos!$I$6),I141-F141)</f>
        <v>0</v>
      </c>
      <c r="O141" s="71">
        <f t="shared" si="26"/>
        <v>0</v>
      </c>
      <c r="P141" s="60"/>
    </row>
    <row r="142" spans="1:16" ht="13.8" thickBot="1" x14ac:dyDescent="0.3">
      <c r="A142" s="62"/>
      <c r="B142" s="76">
        <f t="shared" si="30"/>
        <v>120</v>
      </c>
      <c r="C142" s="77">
        <f>+Calculos!B124</f>
        <v>47036</v>
      </c>
      <c r="D142" s="18">
        <f t="shared" si="27"/>
        <v>30</v>
      </c>
      <c r="E142" s="78">
        <f>+Calculos!I125</f>
        <v>0</v>
      </c>
      <c r="F142" s="79">
        <f>+Calculos!L125</f>
        <v>0</v>
      </c>
      <c r="G142" s="80">
        <f>+Calculos!J125</f>
        <v>0</v>
      </c>
      <c r="H142" s="80">
        <f>+Calculos!K125</f>
        <v>0</v>
      </c>
      <c r="I142" s="81">
        <f t="shared" si="23"/>
        <v>0</v>
      </c>
      <c r="J142" s="82">
        <f t="shared" si="28"/>
        <v>0</v>
      </c>
      <c r="K142" s="67">
        <f t="shared" si="24"/>
        <v>0</v>
      </c>
      <c r="L142" s="67">
        <f t="shared" si="25"/>
        <v>0</v>
      </c>
      <c r="M142" s="83">
        <f t="shared" si="29"/>
        <v>0</v>
      </c>
      <c r="N142" s="84">
        <f>+MIN(H142+MAX(0,E142-Calculos!$I$6),$C$19-L142+MAX(0,E142-Calculos!$I$6),I142-F142)</f>
        <v>0</v>
      </c>
      <c r="O142" s="85">
        <f t="shared" si="26"/>
        <v>0</v>
      </c>
      <c r="P142" s="60"/>
    </row>
  </sheetData>
  <sheetProtection password="A58B" sheet="1" objects="1" scenarios="1" selectLockedCells="1" selectUnlockedCells="1"/>
  <mergeCells count="2">
    <mergeCell ref="J19:N19"/>
    <mergeCell ref="E19:I19"/>
  </mergeCells>
  <phoneticPr fontId="0" type="noConversion"/>
  <conditionalFormatting sqref="F23:O23 D23">
    <cfRule type="expression" priority="2">
      <formula>IF($B23=#REF!,1,0)</formula>
    </cfRule>
  </conditionalFormatting>
  <conditionalFormatting sqref="C23">
    <cfRule type="expression" priority="4">
      <formula>IF($B23=#REF!,1,0)</formula>
    </cfRule>
  </conditionalFormatting>
  <pageMargins left="0.78740157480314965" right="0.75" top="0.59055118110236227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248"/>
  <sheetViews>
    <sheetView zoomScaleNormal="100" workbookViewId="0"/>
  </sheetViews>
  <sheetFormatPr baseColWidth="10" defaultRowHeight="13.2" x14ac:dyDescent="0.25"/>
  <cols>
    <col min="1" max="2" width="11.5546875" style="104"/>
    <col min="3" max="3" width="12.33203125" style="109" bestFit="1" customWidth="1"/>
    <col min="4" max="5" width="11.5546875" style="109"/>
    <col min="6" max="6" width="16.6640625" style="109" bestFit="1" customWidth="1"/>
    <col min="7" max="7" width="5.109375" style="109" bestFit="1" customWidth="1"/>
    <col min="8" max="8" width="11.5546875" style="109"/>
    <col min="9" max="9" width="12.44140625" style="109" bestFit="1" customWidth="1"/>
    <col min="10" max="11" width="11.5546875" style="109"/>
    <col min="12" max="12" width="12" style="109" bestFit="1" customWidth="1"/>
    <col min="13" max="15" width="11.5546875" style="109"/>
    <col min="16" max="16" width="12.33203125" style="104" bestFit="1" customWidth="1"/>
    <col min="17" max="16384" width="11.5546875" style="104"/>
  </cols>
  <sheetData>
    <row r="1" spans="1:24" ht="14.4" x14ac:dyDescent="0.3">
      <c r="C1" s="105" t="s">
        <v>13</v>
      </c>
      <c r="D1" s="106">
        <f>+SIMULADOR!C13</f>
        <v>1.026E-2</v>
      </c>
      <c r="E1" s="107">
        <v>8</v>
      </c>
      <c r="F1" s="107"/>
      <c r="G1" s="107"/>
      <c r="H1" s="107"/>
      <c r="I1" s="108"/>
      <c r="J1" s="107"/>
      <c r="K1" s="107"/>
      <c r="L1" s="107"/>
      <c r="M1" s="107"/>
    </row>
    <row r="2" spans="1:24" x14ac:dyDescent="0.25">
      <c r="D2" s="110"/>
      <c r="E2" s="107"/>
      <c r="F2" s="105" t="s">
        <v>15</v>
      </c>
      <c r="G2" s="105"/>
      <c r="H2" s="107"/>
      <c r="I2" s="108"/>
      <c r="J2" s="107"/>
      <c r="K2" s="107"/>
      <c r="L2" s="107"/>
      <c r="M2" s="107"/>
    </row>
    <row r="3" spans="1:24" ht="13.8" thickBot="1" x14ac:dyDescent="0.3">
      <c r="D3" s="107"/>
      <c r="E3" s="111">
        <f>(1+SIMULADOR!C12)^(1/360)-1</f>
        <v>3.2722862665579555E-4</v>
      </c>
      <c r="F3" s="111">
        <f>ROUNDUP((1+D1/360)-1,E1)</f>
        <v>2.8500000000000002E-5</v>
      </c>
      <c r="G3" s="112"/>
      <c r="H3" s="107"/>
      <c r="I3" s="108"/>
      <c r="J3" s="107"/>
      <c r="K3" s="107"/>
      <c r="L3" s="107"/>
      <c r="M3" s="107"/>
      <c r="O3" s="112">
        <f>XIRR(O5:O125,A5:A125)</f>
        <v>0.13987472653388977</v>
      </c>
    </row>
    <row r="4" spans="1:24" x14ac:dyDescent="0.25">
      <c r="A4" s="113" t="s">
        <v>4</v>
      </c>
      <c r="B4" s="113" t="s">
        <v>5</v>
      </c>
      <c r="D4" s="107"/>
      <c r="E4" s="105" t="s">
        <v>17</v>
      </c>
      <c r="F4" s="107">
        <f>+SUMIF(Calculos!$D$6:$D$125,"&lt;="&amp;SIMULADOR!C11,$F$6:$F$125)</f>
        <v>43.314451699878582</v>
      </c>
      <c r="G4" s="107"/>
      <c r="H4" s="114">
        <f>IF(D6&lt;=SIMULADOR!$C$11,Calculos!$I$6/Calculos!$F$4,0)</f>
        <v>1038.9142245595167</v>
      </c>
      <c r="I4" s="108"/>
      <c r="J4" s="115">
        <f>+SUM(J6:J125)</f>
        <v>44999.999999999935</v>
      </c>
      <c r="K4" s="115"/>
      <c r="L4" s="107"/>
      <c r="M4" s="107"/>
    </row>
    <row r="5" spans="1:24" x14ac:dyDescent="0.25">
      <c r="A5" s="116">
        <f>+SIMULADOR!$C$9</f>
        <v>43346</v>
      </c>
      <c r="B5" s="117">
        <f>+SIMULADOR!C16</f>
        <v>43414</v>
      </c>
      <c r="C5" s="118"/>
      <c r="D5" s="107"/>
      <c r="E5" s="105" t="s">
        <v>19</v>
      </c>
      <c r="F5" s="105" t="s">
        <v>10</v>
      </c>
      <c r="G5" s="105" t="s">
        <v>16</v>
      </c>
      <c r="H5" s="105" t="s">
        <v>6</v>
      </c>
      <c r="I5" s="105" t="s">
        <v>0</v>
      </c>
      <c r="J5" s="105" t="s">
        <v>18</v>
      </c>
      <c r="K5" s="105" t="s">
        <v>34</v>
      </c>
      <c r="L5" s="105" t="s">
        <v>13</v>
      </c>
      <c r="M5" s="105" t="s">
        <v>35</v>
      </c>
      <c r="O5" s="119">
        <f>-Calculos!I6</f>
        <v>-45000</v>
      </c>
      <c r="V5" s="104">
        <v>1000</v>
      </c>
      <c r="X5" s="104">
        <v>0.16</v>
      </c>
    </row>
    <row r="6" spans="1:24" x14ac:dyDescent="0.25">
      <c r="A6" s="116">
        <f t="shared" ref="A6:A37" si="0">+B5</f>
        <v>43414</v>
      </c>
      <c r="B6" s="117">
        <f t="shared" ref="B6:B37" si="1">+EDATE(A6,1)</f>
        <v>43444</v>
      </c>
      <c r="D6" s="107">
        <v>1</v>
      </c>
      <c r="E6" s="120">
        <f t="shared" ref="E6:E37" si="2">+B5-$A$5</f>
        <v>68</v>
      </c>
      <c r="F6" s="121">
        <f t="shared" ref="F6:F37" si="3">1/((1+$E$3)^E6*(1+$F$3)^E6)</f>
        <v>0.97610425549497015</v>
      </c>
      <c r="G6" s="122">
        <f>+E6</f>
        <v>68</v>
      </c>
      <c r="H6" s="114">
        <f>ROUND(IF(D6&lt;=SIMULADOR!$C$11,IF(SIMULADOR!$C$11=D6,I6*(1+$E$3)^G6+I6*($F$3*G6),Calculos!$I$6/Calculos!$F$4),0),2)</f>
        <v>1038.9100000000001</v>
      </c>
      <c r="I6" s="114">
        <f>SIMULADOR!C8</f>
        <v>45000</v>
      </c>
      <c r="J6" s="114">
        <f>IF(D6&lt;SIMULADOR!$C$11,IF(H6-M6&lt;0,0,H6-M6-L6),I6)</f>
        <v>-60.679999999999907</v>
      </c>
      <c r="K6" s="114">
        <f t="shared" ref="K6:K37" si="4">+H6-L6-J6</f>
        <v>1012.38</v>
      </c>
      <c r="L6" s="123">
        <f>ROUND(I6*(($F$3*G6)),2)</f>
        <v>87.21</v>
      </c>
      <c r="M6" s="114">
        <f>ROUND(I6*((1+$E$3)^G6-1),2)</f>
        <v>1012.38</v>
      </c>
      <c r="O6" s="108">
        <f>+SIMULADOR!O23</f>
        <v>1041.9100000000001</v>
      </c>
      <c r="Q6" s="124">
        <f>+M6+L6+J6+3</f>
        <v>1041.9100000000001</v>
      </c>
      <c r="S6" s="125">
        <f>+K6-M6</f>
        <v>0</v>
      </c>
      <c r="T6" s="125">
        <f>+O6-(H6+10)</f>
        <v>-7</v>
      </c>
      <c r="X6" s="104">
        <f>+X5/V5</f>
        <v>1.6000000000000001E-4</v>
      </c>
    </row>
    <row r="7" spans="1:24" x14ac:dyDescent="0.25">
      <c r="A7" s="116">
        <f t="shared" si="0"/>
        <v>43444</v>
      </c>
      <c r="B7" s="117">
        <f t="shared" si="1"/>
        <v>43475</v>
      </c>
      <c r="D7" s="107">
        <f t="shared" ref="D7:D70" si="5">+D6+1</f>
        <v>2</v>
      </c>
      <c r="E7" s="120">
        <f t="shared" si="2"/>
        <v>98</v>
      </c>
      <c r="F7" s="121">
        <f t="shared" si="3"/>
        <v>0.96574435764989874</v>
      </c>
      <c r="G7" s="122">
        <f t="shared" ref="G7:G38" si="6">+E7-E6</f>
        <v>30</v>
      </c>
      <c r="H7" s="114">
        <f>ROUND(IF(D7&lt;=SIMULADOR!$C$11,IF(SIMULADOR!$C$11=D7,I7*(1+$E$3)^G7+I7*($F$3*G7),Calculos!$I$6/Calculos!$F$4),0),2)</f>
        <v>1038.9100000000001</v>
      </c>
      <c r="I7" s="114">
        <f>IF(D7&lt;=SIMULADOR!$C$11,I6-H6+M6+L6,0)</f>
        <v>45060.679999999993</v>
      </c>
      <c r="J7" s="114">
        <f>IF(D7&lt;SIMULADOR!$C$11,IF(H7-M7&lt;0,0,H7-M7-L7),I7)</f>
        <v>555.92000000000007</v>
      </c>
      <c r="K7" s="114">
        <f t="shared" si="4"/>
        <v>444.46000000000004</v>
      </c>
      <c r="L7" s="123">
        <f t="shared" ref="L7:L11" si="7">ROUND(I7*(($F$3*G7)),2)</f>
        <v>38.53</v>
      </c>
      <c r="M7" s="114">
        <f t="shared" ref="M7:M17" si="8">ROUND(I7*((1+$E$3)^G7-1),2)</f>
        <v>444.46</v>
      </c>
      <c r="O7" s="108">
        <f>+SIMULADOR!O24</f>
        <v>1041.9100000000001</v>
      </c>
      <c r="Q7" s="124">
        <f t="shared" ref="Q7:Q65" si="9">+M7+L7+J7+3</f>
        <v>1041.9100000000001</v>
      </c>
      <c r="S7" s="125">
        <f t="shared" ref="S7:S17" si="10">+K7-M7</f>
        <v>0</v>
      </c>
      <c r="T7" s="125">
        <f t="shared" ref="T7:T17" si="11">+O7-(H7+10)</f>
        <v>-7</v>
      </c>
    </row>
    <row r="8" spans="1:24" x14ac:dyDescent="0.25">
      <c r="A8" s="116">
        <f t="shared" si="0"/>
        <v>43475</v>
      </c>
      <c r="B8" s="117">
        <f t="shared" si="1"/>
        <v>43506</v>
      </c>
      <c r="D8" s="107">
        <f t="shared" si="5"/>
        <v>3</v>
      </c>
      <c r="E8" s="120">
        <f t="shared" si="2"/>
        <v>129</v>
      </c>
      <c r="F8" s="121">
        <f t="shared" si="3"/>
        <v>0.95515462999074663</v>
      </c>
      <c r="G8" s="122">
        <f t="shared" si="6"/>
        <v>31</v>
      </c>
      <c r="H8" s="114">
        <f>ROUND(IF(D8&lt;=SIMULADOR!$C$11,IF(SIMULADOR!$C$11=D8,I8*(1+$E$3)^G8+I8*($F$3*G8),Calculos!$I$6/Calculos!$F$4),0),2)</f>
        <v>1038.9100000000001</v>
      </c>
      <c r="I8" s="114">
        <f>IF(D8&lt;=SIMULADOR!$C$11,I7-H7+M7+L7,0)</f>
        <v>44504.759999999987</v>
      </c>
      <c r="J8" s="114">
        <f>IF(D8&lt;SIMULADOR!$C$11,IF(H8-M8&lt;0,0,H8-M8-L8),I8)</f>
        <v>545.91</v>
      </c>
      <c r="K8" s="114">
        <f t="shared" si="4"/>
        <v>453.68000000000006</v>
      </c>
      <c r="L8" s="123">
        <f t="shared" si="7"/>
        <v>39.32</v>
      </c>
      <c r="M8" s="114">
        <f t="shared" si="8"/>
        <v>453.68</v>
      </c>
      <c r="O8" s="108">
        <f>+SIMULADOR!O25</f>
        <v>1041.9100000000001</v>
      </c>
      <c r="Q8" s="124">
        <f t="shared" si="9"/>
        <v>1041.9099999999999</v>
      </c>
      <c r="S8" s="125">
        <f t="shared" si="10"/>
        <v>0</v>
      </c>
      <c r="T8" s="125">
        <f t="shared" si="11"/>
        <v>-7</v>
      </c>
    </row>
    <row r="9" spans="1:24" x14ac:dyDescent="0.25">
      <c r="A9" s="116">
        <f t="shared" si="0"/>
        <v>43506</v>
      </c>
      <c r="B9" s="117">
        <f t="shared" si="1"/>
        <v>43534</v>
      </c>
      <c r="D9" s="107">
        <f t="shared" si="5"/>
        <v>4</v>
      </c>
      <c r="E9" s="120">
        <f t="shared" si="2"/>
        <v>160</v>
      </c>
      <c r="F9" s="121">
        <f t="shared" si="3"/>
        <v>0.94468102243212326</v>
      </c>
      <c r="G9" s="122">
        <f t="shared" si="6"/>
        <v>31</v>
      </c>
      <c r="H9" s="114">
        <f>ROUND(IF(D9&lt;=SIMULADOR!$C$11,IF(SIMULADOR!$C$11=D9,I9*(1+$E$3)^G9+I9*($F$3*G9),Calculos!$I$6/Calculos!$F$4),0),2)</f>
        <v>1038.9100000000001</v>
      </c>
      <c r="I9" s="114">
        <f>IF(D9&lt;=SIMULADOR!$C$11,I8-H8+M8+L8,0)</f>
        <v>43958.849999999984</v>
      </c>
      <c r="J9" s="114">
        <f>IF(D9&lt;SIMULADOR!$C$11,IF(H9-M9&lt;0,0,H9-M9-L9),I9)</f>
        <v>551.95000000000005</v>
      </c>
      <c r="K9" s="114">
        <f t="shared" si="4"/>
        <v>448.12</v>
      </c>
      <c r="L9" s="123">
        <f t="shared" si="7"/>
        <v>38.840000000000003</v>
      </c>
      <c r="M9" s="114">
        <f t="shared" si="8"/>
        <v>448.12</v>
      </c>
      <c r="O9" s="108">
        <f>+SIMULADOR!O26</f>
        <v>1041.9100000000001</v>
      </c>
      <c r="Q9" s="124">
        <f t="shared" si="9"/>
        <v>1041.9100000000001</v>
      </c>
      <c r="S9" s="125">
        <f t="shared" si="10"/>
        <v>0</v>
      </c>
      <c r="T9" s="125">
        <f t="shared" si="11"/>
        <v>-7</v>
      </c>
    </row>
    <row r="10" spans="1:24" x14ac:dyDescent="0.25">
      <c r="A10" s="116">
        <f t="shared" si="0"/>
        <v>43534</v>
      </c>
      <c r="B10" s="117">
        <f t="shared" si="1"/>
        <v>43565</v>
      </c>
      <c r="D10" s="107">
        <f t="shared" si="5"/>
        <v>5</v>
      </c>
      <c r="E10" s="120">
        <f t="shared" si="2"/>
        <v>188</v>
      </c>
      <c r="F10" s="121">
        <f t="shared" si="3"/>
        <v>0.93531973809774516</v>
      </c>
      <c r="G10" s="122">
        <f t="shared" si="6"/>
        <v>28</v>
      </c>
      <c r="H10" s="114">
        <f>ROUND(IF(D10&lt;=SIMULADOR!$C$11,IF(SIMULADOR!$C$11=D10,I10*(1+$E$3)^G10+I10*($F$3*G10),Calculos!$I$6/Calculos!$F$4),0),2)</f>
        <v>1038.9100000000001</v>
      </c>
      <c r="I10" s="114">
        <f>IF(D10&lt;=SIMULADOR!$C$11,I9-H9+M9+L9,0)</f>
        <v>43406.89999999998</v>
      </c>
      <c r="J10" s="114">
        <f>IF(D10&lt;SIMULADOR!$C$11,IF(H10-M10&lt;0,0,H10-M10-L10),I10)</f>
        <v>604.80000000000007</v>
      </c>
      <c r="K10" s="114">
        <f t="shared" si="4"/>
        <v>399.47</v>
      </c>
      <c r="L10" s="123">
        <f t="shared" si="7"/>
        <v>34.64</v>
      </c>
      <c r="M10" s="114">
        <f t="shared" si="8"/>
        <v>399.47</v>
      </c>
      <c r="O10" s="108">
        <f>+SIMULADOR!O27</f>
        <v>1041.9100000000001</v>
      </c>
      <c r="Q10" s="124">
        <f t="shared" si="9"/>
        <v>1041.9100000000001</v>
      </c>
      <c r="S10" s="125">
        <f t="shared" si="10"/>
        <v>0</v>
      </c>
      <c r="T10" s="125">
        <f t="shared" si="11"/>
        <v>-7</v>
      </c>
    </row>
    <row r="11" spans="1:24" x14ac:dyDescent="0.25">
      <c r="A11" s="116">
        <f t="shared" si="0"/>
        <v>43565</v>
      </c>
      <c r="B11" s="117">
        <f t="shared" si="1"/>
        <v>43595</v>
      </c>
      <c r="D11" s="107">
        <f t="shared" si="5"/>
        <v>6</v>
      </c>
      <c r="E11" s="120">
        <f t="shared" si="2"/>
        <v>219</v>
      </c>
      <c r="F11" s="121">
        <f t="shared" si="3"/>
        <v>0.92506362712777035</v>
      </c>
      <c r="G11" s="122">
        <f t="shared" si="6"/>
        <v>31</v>
      </c>
      <c r="H11" s="114">
        <f>ROUND(IF(D11&lt;=SIMULADOR!$C$11,IF(SIMULADOR!$C$11=D11,I11*(1+$E$3)^G11+I11*($F$3*G11),Calculos!$I$6/Calculos!$F$4),0),2)</f>
        <v>1038.9100000000001</v>
      </c>
      <c r="I11" s="114">
        <f>IF(D11&lt;=SIMULADOR!$C$11,I10-H10+M10+L10,0)</f>
        <v>42802.099999999977</v>
      </c>
      <c r="J11" s="114">
        <f>IF(D11&lt;SIMULADOR!$C$11,IF(H11-M11&lt;0,0,H11-M11-L11),I11)</f>
        <v>564.7600000000001</v>
      </c>
      <c r="K11" s="114">
        <f t="shared" si="4"/>
        <v>436.32999999999993</v>
      </c>
      <c r="L11" s="123">
        <f t="shared" si="7"/>
        <v>37.82</v>
      </c>
      <c r="M11" s="114">
        <f t="shared" si="8"/>
        <v>436.33</v>
      </c>
      <c r="O11" s="108">
        <f>+SIMULADOR!O28</f>
        <v>1041.9100000000001</v>
      </c>
      <c r="Q11" s="124">
        <f t="shared" si="9"/>
        <v>1041.9100000000001</v>
      </c>
      <c r="S11" s="125">
        <f t="shared" si="10"/>
        <v>0</v>
      </c>
      <c r="T11" s="125">
        <f t="shared" si="11"/>
        <v>-7</v>
      </c>
    </row>
    <row r="12" spans="1:24" x14ac:dyDescent="0.25">
      <c r="A12" s="116">
        <f t="shared" si="0"/>
        <v>43595</v>
      </c>
      <c r="B12" s="117">
        <f t="shared" si="1"/>
        <v>43626</v>
      </c>
      <c r="D12" s="107">
        <f t="shared" si="5"/>
        <v>7</v>
      </c>
      <c r="E12" s="120">
        <f t="shared" si="2"/>
        <v>249</v>
      </c>
      <c r="F12" s="121">
        <f t="shared" si="3"/>
        <v>0.91524544979344968</v>
      </c>
      <c r="G12" s="122">
        <f t="shared" si="6"/>
        <v>30</v>
      </c>
      <c r="H12" s="114">
        <f>ROUND(IF(D12&lt;=SIMULADOR!$C$11,IF(SIMULADOR!$C$11=D12,I12*(1+$E$3)^G12+I12*($F$3*G12),Calculos!$I$6/Calculos!$F$4),0),2)</f>
        <v>1038.9100000000001</v>
      </c>
      <c r="I12" s="114">
        <f>IF(D12&lt;=SIMULADOR!$C$11,I11-H11+M11+L11,0)</f>
        <v>42237.339999999975</v>
      </c>
      <c r="J12" s="114">
        <f>IF(D12&lt;SIMULADOR!$C$11,IF(H12-M12&lt;0,0,H12-M12-L12),I12)</f>
        <v>586.19000000000005</v>
      </c>
      <c r="K12" s="114">
        <f t="shared" si="4"/>
        <v>416.61</v>
      </c>
      <c r="L12" s="123">
        <f t="shared" ref="L12:L37" si="12">ROUND(I12*(($F$3*G12)),2)</f>
        <v>36.11</v>
      </c>
      <c r="M12" s="114">
        <f t="shared" si="8"/>
        <v>416.61</v>
      </c>
      <c r="O12" s="108">
        <f>+SIMULADOR!O29</f>
        <v>1041.9100000000001</v>
      </c>
      <c r="Q12" s="124">
        <f t="shared" si="9"/>
        <v>1041.9100000000001</v>
      </c>
      <c r="S12" s="125">
        <f t="shared" si="10"/>
        <v>0</v>
      </c>
      <c r="T12" s="125">
        <f t="shared" si="11"/>
        <v>-7</v>
      </c>
    </row>
    <row r="13" spans="1:24" x14ac:dyDescent="0.25">
      <c r="A13" s="116">
        <f t="shared" si="0"/>
        <v>43626</v>
      </c>
      <c r="B13" s="117">
        <f t="shared" si="1"/>
        <v>43656</v>
      </c>
      <c r="D13" s="107">
        <f t="shared" si="5"/>
        <v>8</v>
      </c>
      <c r="E13" s="120">
        <f t="shared" si="2"/>
        <v>280</v>
      </c>
      <c r="F13" s="121">
        <f t="shared" si="3"/>
        <v>0.90520946047824802</v>
      </c>
      <c r="G13" s="122">
        <f t="shared" si="6"/>
        <v>31</v>
      </c>
      <c r="H13" s="114">
        <f>ROUND(IF(D13&lt;=SIMULADOR!$C$11,IF(SIMULADOR!$C$11=D13,I13*(1+$E$3)^G13+I13*($F$3*G13),Calculos!$I$6/Calculos!$F$4),0),2)</f>
        <v>1038.9100000000001</v>
      </c>
      <c r="I13" s="114">
        <f>IF(D13&lt;=SIMULADOR!$C$11,I12-H12+M12+L12,0)</f>
        <v>41651.149999999972</v>
      </c>
      <c r="J13" s="114">
        <f>IF(D13&lt;SIMULADOR!$C$11,IF(H13-M13&lt;0,0,H13-M13-L13),I13)</f>
        <v>577.52000000000021</v>
      </c>
      <c r="K13" s="114">
        <f t="shared" si="4"/>
        <v>424.58999999999992</v>
      </c>
      <c r="L13" s="123">
        <f t="shared" si="12"/>
        <v>36.799999999999997</v>
      </c>
      <c r="M13" s="114">
        <f t="shared" si="8"/>
        <v>424.59</v>
      </c>
      <c r="O13" s="108">
        <f>+SIMULADOR!O30</f>
        <v>1041.9100000000001</v>
      </c>
      <c r="Q13" s="124">
        <f t="shared" si="9"/>
        <v>1041.9100000000003</v>
      </c>
      <c r="S13" s="125">
        <f t="shared" si="10"/>
        <v>0</v>
      </c>
      <c r="T13" s="125">
        <f t="shared" si="11"/>
        <v>-7</v>
      </c>
    </row>
    <row r="14" spans="1:24" x14ac:dyDescent="0.25">
      <c r="A14" s="116">
        <f t="shared" si="0"/>
        <v>43656</v>
      </c>
      <c r="B14" s="117">
        <f t="shared" si="1"/>
        <v>43687</v>
      </c>
      <c r="D14" s="107">
        <f t="shared" si="5"/>
        <v>9</v>
      </c>
      <c r="E14" s="120">
        <f t="shared" si="2"/>
        <v>310</v>
      </c>
      <c r="F14" s="121">
        <f t="shared" si="3"/>
        <v>0.89560200565346437</v>
      </c>
      <c r="G14" s="122">
        <f t="shared" si="6"/>
        <v>30</v>
      </c>
      <c r="H14" s="114">
        <f>ROUND(IF(D14&lt;=SIMULADOR!$C$11,IF(SIMULADOR!$C$11=D14,I14*(1+$E$3)^G14+I14*($F$3*G14),Calculos!$I$6/Calculos!$F$4),0),2)</f>
        <v>1038.9100000000001</v>
      </c>
      <c r="I14" s="114">
        <f>IF(D14&lt;=SIMULADOR!$C$11,I13-H13+M13+L13,0)</f>
        <v>41073.629999999968</v>
      </c>
      <c r="J14" s="114">
        <f>IF(D14&lt;SIMULADOR!$C$11,IF(H14-M14&lt;0,0,H14-M14-L14),I14)</f>
        <v>598.66000000000008</v>
      </c>
      <c r="K14" s="114">
        <f t="shared" si="4"/>
        <v>405.13</v>
      </c>
      <c r="L14" s="123">
        <f t="shared" si="12"/>
        <v>35.119999999999997</v>
      </c>
      <c r="M14" s="114">
        <f t="shared" si="8"/>
        <v>405.13</v>
      </c>
      <c r="O14" s="108">
        <f>+SIMULADOR!O31</f>
        <v>1041.9100000000001</v>
      </c>
      <c r="Q14" s="124">
        <f t="shared" si="9"/>
        <v>1041.9100000000001</v>
      </c>
      <c r="S14" s="125">
        <f t="shared" si="10"/>
        <v>0</v>
      </c>
      <c r="T14" s="125">
        <f t="shared" si="11"/>
        <v>-7</v>
      </c>
    </row>
    <row r="15" spans="1:24" x14ac:dyDescent="0.25">
      <c r="A15" s="116">
        <f t="shared" si="0"/>
        <v>43687</v>
      </c>
      <c r="B15" s="117">
        <f t="shared" si="1"/>
        <v>43718</v>
      </c>
      <c r="D15" s="107">
        <f t="shared" si="5"/>
        <v>10</v>
      </c>
      <c r="E15" s="120">
        <f t="shared" si="2"/>
        <v>341</v>
      </c>
      <c r="F15" s="121">
        <f t="shared" si="3"/>
        <v>0.88578141363474472</v>
      </c>
      <c r="G15" s="122">
        <f t="shared" si="6"/>
        <v>31</v>
      </c>
      <c r="H15" s="114">
        <f>ROUND(IF(D15&lt;=SIMULADOR!$C$11,IF(SIMULADOR!$C$11=D15,I15*(1+$E$3)^G15+I15*($F$3*G15),Calculos!$I$6/Calculos!$F$4),0),2)</f>
        <v>1038.9100000000001</v>
      </c>
      <c r="I15" s="114">
        <f>IF(D15&lt;=SIMULADOR!$C$11,I14-H14+M14+L14,0)</f>
        <v>40474.969999999965</v>
      </c>
      <c r="J15" s="114">
        <f>IF(D15&lt;SIMULADOR!$C$11,IF(H15-M15&lt;0,0,H15-M15-L15),I15)</f>
        <v>590.55000000000007</v>
      </c>
      <c r="K15" s="114">
        <f t="shared" si="4"/>
        <v>412.6</v>
      </c>
      <c r="L15" s="123">
        <f t="shared" si="12"/>
        <v>35.76</v>
      </c>
      <c r="M15" s="114">
        <f t="shared" si="8"/>
        <v>412.6</v>
      </c>
      <c r="O15" s="108">
        <f>+SIMULADOR!O32</f>
        <v>1041.9100000000001</v>
      </c>
      <c r="Q15" s="124">
        <f t="shared" si="9"/>
        <v>1041.9100000000001</v>
      </c>
      <c r="S15" s="125">
        <f t="shared" si="10"/>
        <v>0</v>
      </c>
      <c r="T15" s="125">
        <f t="shared" si="11"/>
        <v>-7</v>
      </c>
    </row>
    <row r="16" spans="1:24" x14ac:dyDescent="0.25">
      <c r="A16" s="116">
        <f t="shared" si="0"/>
        <v>43718</v>
      </c>
      <c r="B16" s="117">
        <f t="shared" si="1"/>
        <v>43748</v>
      </c>
      <c r="D16" s="107">
        <f t="shared" si="5"/>
        <v>11</v>
      </c>
      <c r="E16" s="120">
        <f t="shared" si="2"/>
        <v>372</v>
      </c>
      <c r="F16" s="121">
        <f t="shared" si="3"/>
        <v>0.87606850787285473</v>
      </c>
      <c r="G16" s="122">
        <f t="shared" si="6"/>
        <v>31</v>
      </c>
      <c r="H16" s="114">
        <f>ROUND(IF(D16&lt;=SIMULADOR!$C$11,IF(SIMULADOR!$C$11=D16,I16*(1+$E$3)^G16+I16*($F$3*G16),Calculos!$I$6/Calculos!$F$4),0),2)</f>
        <v>1038.9100000000001</v>
      </c>
      <c r="I16" s="114">
        <f>IF(D16&lt;=SIMULADOR!$C$11,I15-H15+M15+L15,0)</f>
        <v>39884.419999999962</v>
      </c>
      <c r="J16" s="114">
        <f>IF(D16&lt;SIMULADOR!$C$11,IF(H16-M16&lt;0,0,H16-M16-L16),I16)</f>
        <v>597.09000000000015</v>
      </c>
      <c r="K16" s="114">
        <f t="shared" si="4"/>
        <v>406.57999999999993</v>
      </c>
      <c r="L16" s="123">
        <f t="shared" si="12"/>
        <v>35.24</v>
      </c>
      <c r="M16" s="114">
        <f t="shared" si="8"/>
        <v>406.58</v>
      </c>
      <c r="O16" s="108">
        <f>+SIMULADOR!O33</f>
        <v>1041.9100000000001</v>
      </c>
      <c r="Q16" s="124">
        <f t="shared" si="9"/>
        <v>1041.9100000000001</v>
      </c>
      <c r="S16" s="125">
        <f t="shared" si="10"/>
        <v>0</v>
      </c>
      <c r="T16" s="125">
        <f t="shared" si="11"/>
        <v>-7</v>
      </c>
    </row>
    <row r="17" spans="1:20" x14ac:dyDescent="0.25">
      <c r="A17" s="116">
        <f t="shared" si="0"/>
        <v>43748</v>
      </c>
      <c r="B17" s="117">
        <f t="shared" si="1"/>
        <v>43779</v>
      </c>
      <c r="D17" s="107">
        <f t="shared" si="5"/>
        <v>12</v>
      </c>
      <c r="E17" s="120">
        <f>+B16-$A$5</f>
        <v>402</v>
      </c>
      <c r="F17" s="121">
        <f t="shared" si="3"/>
        <v>0.86677034100619688</v>
      </c>
      <c r="G17" s="122">
        <f t="shared" si="6"/>
        <v>30</v>
      </c>
      <c r="H17" s="114">
        <f>ROUND(IF(D17&lt;=SIMULADOR!$C$11,IF(SIMULADOR!$C$11=D17,I17*(1+$E$3)^G17+I17*($F$3*G17),Calculos!$I$6/Calculos!$F$4),0),2)</f>
        <v>1038.9100000000001</v>
      </c>
      <c r="I17" s="114">
        <f>IF(D17&lt;=SIMULADOR!$C$11,I16-H16+M16+L16,0)</f>
        <v>39287.329999999958</v>
      </c>
      <c r="J17" s="114">
        <f>IF(D17&lt;SIMULADOR!$C$11,IF(H17-M17&lt;0,0,H17-M17-L17),I17)</f>
        <v>617.81000000000006</v>
      </c>
      <c r="K17" s="114">
        <f t="shared" si="4"/>
        <v>387.51</v>
      </c>
      <c r="L17" s="123">
        <f t="shared" si="12"/>
        <v>33.590000000000003</v>
      </c>
      <c r="M17" s="114">
        <f t="shared" si="8"/>
        <v>387.51</v>
      </c>
      <c r="O17" s="108">
        <f>+SIMULADOR!O34</f>
        <v>1041.9100000000001</v>
      </c>
      <c r="Q17" s="124">
        <f t="shared" si="9"/>
        <v>1041.9100000000001</v>
      </c>
      <c r="S17" s="125">
        <f t="shared" si="10"/>
        <v>0</v>
      </c>
      <c r="T17" s="125">
        <f t="shared" si="11"/>
        <v>-7</v>
      </c>
    </row>
    <row r="18" spans="1:20" x14ac:dyDescent="0.25">
      <c r="A18" s="116">
        <f t="shared" si="0"/>
        <v>43779</v>
      </c>
      <c r="B18" s="117">
        <f t="shared" si="1"/>
        <v>43809</v>
      </c>
      <c r="D18" s="107">
        <f t="shared" si="5"/>
        <v>13</v>
      </c>
      <c r="E18" s="120">
        <f t="shared" si="2"/>
        <v>433</v>
      </c>
      <c r="F18" s="121">
        <f t="shared" si="3"/>
        <v>0.85726589836402389</v>
      </c>
      <c r="G18" s="122">
        <f t="shared" si="6"/>
        <v>31</v>
      </c>
      <c r="H18" s="114">
        <f>ROUND(IF(D18&lt;=SIMULADOR!$C$11,IF(SIMULADOR!$C$11=D18,I18*(1+$E$3)^G18+I18*($F$3*G18),Calculos!$I$6/Calculos!$F$4),0),2)</f>
        <v>1038.9100000000001</v>
      </c>
      <c r="I18" s="114">
        <f>IF(D18&lt;=SIMULADOR!$C$11,I17-H17+M17+L17,0)</f>
        <v>38669.519999999953</v>
      </c>
      <c r="J18" s="114">
        <f>IF(D18&lt;SIMULADOR!$C$11,IF(H18-M18&lt;0,0,H18-M18-L18),I18)</f>
        <v>610.55000000000007</v>
      </c>
      <c r="K18" s="114">
        <f t="shared" si="4"/>
        <v>394.20000000000005</v>
      </c>
      <c r="L18" s="123">
        <f t="shared" si="12"/>
        <v>34.159999999999997</v>
      </c>
      <c r="M18" s="114">
        <f t="shared" ref="M18:M29" si="13">ROUND(I18*((1+$E$3)^G18-1),2)</f>
        <v>394.2</v>
      </c>
      <c r="O18" s="108">
        <f>+SIMULADOR!O35</f>
        <v>1041.9100000000001</v>
      </c>
      <c r="Q18" s="124">
        <f t="shared" si="9"/>
        <v>1041.9100000000001</v>
      </c>
      <c r="S18" s="125"/>
      <c r="T18" s="125"/>
    </row>
    <row r="19" spans="1:20" x14ac:dyDescent="0.25">
      <c r="A19" s="116">
        <f t="shared" si="0"/>
        <v>43809</v>
      </c>
      <c r="B19" s="117">
        <f t="shared" si="1"/>
        <v>43840</v>
      </c>
      <c r="D19" s="107">
        <f t="shared" si="5"/>
        <v>14</v>
      </c>
      <c r="E19" s="120">
        <f t="shared" si="2"/>
        <v>463</v>
      </c>
      <c r="F19" s="121">
        <f t="shared" si="3"/>
        <v>0.84816729328867635</v>
      </c>
      <c r="G19" s="122">
        <f t="shared" si="6"/>
        <v>30</v>
      </c>
      <c r="H19" s="114">
        <f>ROUND(IF(D19&lt;=SIMULADOR!$C$11,IF(SIMULADOR!$C$11=D19,I19*(1+$E$3)^G19+I19*($F$3*G19),Calculos!$I$6/Calculos!$F$4),0),2)</f>
        <v>1038.9100000000001</v>
      </c>
      <c r="I19" s="114">
        <f>IF(D19&lt;=SIMULADOR!$C$11,I18-H18+M18+L18,0)</f>
        <v>38058.96999999995</v>
      </c>
      <c r="J19" s="114">
        <f>IF(D19&lt;SIMULADOR!$C$11,IF(H19-M19&lt;0,0,H19-M19-L19),I19)</f>
        <v>630.97000000000014</v>
      </c>
      <c r="K19" s="114">
        <f t="shared" si="4"/>
        <v>375.4</v>
      </c>
      <c r="L19" s="123">
        <f t="shared" si="12"/>
        <v>32.54</v>
      </c>
      <c r="M19" s="114">
        <f t="shared" si="13"/>
        <v>375.4</v>
      </c>
      <c r="O19" s="108">
        <f>+SIMULADOR!O36</f>
        <v>1041.9100000000001</v>
      </c>
      <c r="Q19" s="124">
        <f t="shared" si="9"/>
        <v>1041.9100000000001</v>
      </c>
      <c r="S19" s="125"/>
      <c r="T19" s="125"/>
    </row>
    <row r="20" spans="1:20" x14ac:dyDescent="0.25">
      <c r="A20" s="116">
        <f t="shared" si="0"/>
        <v>43840</v>
      </c>
      <c r="B20" s="117">
        <f t="shared" si="1"/>
        <v>43871</v>
      </c>
      <c r="D20" s="107">
        <f t="shared" si="5"/>
        <v>15</v>
      </c>
      <c r="E20" s="120">
        <f t="shared" si="2"/>
        <v>494</v>
      </c>
      <c r="F20" s="121">
        <f t="shared" si="3"/>
        <v>0.83886683962909336</v>
      </c>
      <c r="G20" s="122">
        <f t="shared" si="6"/>
        <v>31</v>
      </c>
      <c r="H20" s="114">
        <f>ROUND(IF(D20&lt;=SIMULADOR!$C$11,IF(SIMULADOR!$C$11=D20,I20*(1+$E$3)^G20+I20*($F$3*G20),Calculos!$I$6/Calculos!$F$4),0),2)</f>
        <v>1038.9100000000001</v>
      </c>
      <c r="I20" s="114">
        <f>IF(D20&lt;=SIMULADOR!$C$11,I19-H19+M19+L19,0)</f>
        <v>37427.999999999949</v>
      </c>
      <c r="J20" s="114">
        <f>IF(D20&lt;SIMULADOR!$C$11,IF(H20-M20&lt;0,0,H20-M20-L20),I20)</f>
        <v>624.30000000000007</v>
      </c>
      <c r="K20" s="114">
        <f t="shared" si="4"/>
        <v>381.53999999999996</v>
      </c>
      <c r="L20" s="123">
        <f t="shared" si="12"/>
        <v>33.07</v>
      </c>
      <c r="M20" s="114">
        <f t="shared" si="13"/>
        <v>381.54</v>
      </c>
      <c r="O20" s="108">
        <f>+SIMULADOR!O37</f>
        <v>1041.9100000000001</v>
      </c>
      <c r="Q20" s="124">
        <f t="shared" si="9"/>
        <v>1041.9100000000001</v>
      </c>
      <c r="S20" s="125"/>
      <c r="T20" s="125"/>
    </row>
    <row r="21" spans="1:20" x14ac:dyDescent="0.25">
      <c r="A21" s="116">
        <f t="shared" si="0"/>
        <v>43871</v>
      </c>
      <c r="B21" s="117">
        <f t="shared" si="1"/>
        <v>43900</v>
      </c>
      <c r="D21" s="107">
        <f t="shared" si="5"/>
        <v>16</v>
      </c>
      <c r="E21" s="120">
        <f t="shared" si="2"/>
        <v>525</v>
      </c>
      <c r="F21" s="121">
        <f t="shared" si="3"/>
        <v>0.82966836872569261</v>
      </c>
      <c r="G21" s="122">
        <f t="shared" si="6"/>
        <v>31</v>
      </c>
      <c r="H21" s="114">
        <f>ROUND(IF(D21&lt;=SIMULADOR!$C$11,IF(SIMULADOR!$C$11=D21,I21*(1+$E$3)^G21+I21*($F$3*G21),Calculos!$I$6/Calculos!$F$4),0),2)</f>
        <v>1038.9100000000001</v>
      </c>
      <c r="I21" s="114">
        <f>IF(D21&lt;=SIMULADOR!$C$11,I20-H20+M20+L20,0)</f>
        <v>36803.699999999946</v>
      </c>
      <c r="J21" s="114">
        <f>IF(D21&lt;SIMULADOR!$C$11,IF(H21-M21&lt;0,0,H21-M21-L21),I21)</f>
        <v>631.21</v>
      </c>
      <c r="K21" s="114">
        <f t="shared" si="4"/>
        <v>375.18000000000006</v>
      </c>
      <c r="L21" s="123">
        <f t="shared" si="12"/>
        <v>32.520000000000003</v>
      </c>
      <c r="M21" s="114">
        <f t="shared" si="13"/>
        <v>375.18</v>
      </c>
      <c r="O21" s="108">
        <f>+SIMULADOR!O38</f>
        <v>1041.9100000000001</v>
      </c>
      <c r="Q21" s="124">
        <f t="shared" si="9"/>
        <v>1041.9100000000001</v>
      </c>
      <c r="S21" s="125"/>
      <c r="T21" s="125"/>
    </row>
    <row r="22" spans="1:20" x14ac:dyDescent="0.25">
      <c r="A22" s="116">
        <f t="shared" si="0"/>
        <v>43900</v>
      </c>
      <c r="B22" s="117">
        <f t="shared" si="1"/>
        <v>43931</v>
      </c>
      <c r="D22" s="107">
        <f t="shared" si="5"/>
        <v>17</v>
      </c>
      <c r="E22" s="120">
        <f t="shared" si="2"/>
        <v>554</v>
      </c>
      <c r="F22" s="121">
        <f t="shared" si="3"/>
        <v>0.82115468247038692</v>
      </c>
      <c r="G22" s="122">
        <f t="shared" si="6"/>
        <v>29</v>
      </c>
      <c r="H22" s="114">
        <f>ROUND(IF(D22&lt;=SIMULADOR!$C$11,IF(SIMULADOR!$C$11=D22,I22*(1+$E$3)^G22+I22*($F$3*G22),Calculos!$I$6/Calculos!$F$4),0),2)</f>
        <v>1038.9100000000001</v>
      </c>
      <c r="I22" s="114">
        <f>IF(D22&lt;=SIMULADOR!$C$11,I21-H21+M21+L21,0)</f>
        <v>36172.48999999994</v>
      </c>
      <c r="J22" s="114">
        <f>IF(D22&lt;SIMULADOR!$C$11,IF(H22-M22&lt;0,0,H22-M22-L22),I22)</f>
        <v>664.17000000000019</v>
      </c>
      <c r="K22" s="114">
        <f t="shared" si="4"/>
        <v>344.83999999999992</v>
      </c>
      <c r="L22" s="123">
        <f t="shared" si="12"/>
        <v>29.9</v>
      </c>
      <c r="M22" s="114">
        <f t="shared" si="13"/>
        <v>344.84</v>
      </c>
      <c r="O22" s="108">
        <f>+SIMULADOR!O39</f>
        <v>1041.9100000000001</v>
      </c>
      <c r="Q22" s="124">
        <f t="shared" si="9"/>
        <v>1041.9100000000001</v>
      </c>
      <c r="S22" s="125"/>
      <c r="T22" s="125"/>
    </row>
    <row r="23" spans="1:20" x14ac:dyDescent="0.25">
      <c r="A23" s="116">
        <f t="shared" si="0"/>
        <v>43931</v>
      </c>
      <c r="B23" s="117">
        <f t="shared" si="1"/>
        <v>43961</v>
      </c>
      <c r="D23" s="107">
        <f t="shared" si="5"/>
        <v>18</v>
      </c>
      <c r="E23" s="120">
        <f t="shared" si="2"/>
        <v>585</v>
      </c>
      <c r="F23" s="121">
        <f t="shared" si="3"/>
        <v>0.81215043162023492</v>
      </c>
      <c r="G23" s="122">
        <f t="shared" si="6"/>
        <v>31</v>
      </c>
      <c r="H23" s="114">
        <f>ROUND(IF(D23&lt;=SIMULADOR!$C$11,IF(SIMULADOR!$C$11=D23,I23*(1+$E$3)^G23+I23*($F$3*G23),Calculos!$I$6/Calculos!$F$4),0),2)</f>
        <v>1038.9100000000001</v>
      </c>
      <c r="I23" s="114">
        <f>IF(D23&lt;=SIMULADOR!$C$11,I22-H22+M22+L22,0)</f>
        <v>35508.319999999934</v>
      </c>
      <c r="J23" s="114">
        <f>IF(D23&lt;SIMULADOR!$C$11,IF(H23-M23&lt;0,0,H23-M23-L23),I23)</f>
        <v>645.57000000000005</v>
      </c>
      <c r="K23" s="114">
        <f t="shared" si="4"/>
        <v>361.97</v>
      </c>
      <c r="L23" s="123">
        <f t="shared" si="12"/>
        <v>31.37</v>
      </c>
      <c r="M23" s="114">
        <f t="shared" si="13"/>
        <v>361.97</v>
      </c>
      <c r="O23" s="108">
        <f>+SIMULADOR!O40</f>
        <v>1041.9100000000001</v>
      </c>
      <c r="Q23" s="124">
        <f t="shared" si="9"/>
        <v>1041.9100000000001</v>
      </c>
      <c r="S23" s="125"/>
      <c r="T23" s="125"/>
    </row>
    <row r="24" spans="1:20" x14ac:dyDescent="0.25">
      <c r="A24" s="116">
        <f t="shared" si="0"/>
        <v>43961</v>
      </c>
      <c r="B24" s="117">
        <f t="shared" si="1"/>
        <v>43992</v>
      </c>
      <c r="D24" s="107">
        <f t="shared" si="5"/>
        <v>19</v>
      </c>
      <c r="E24" s="120">
        <f t="shared" si="2"/>
        <v>615</v>
      </c>
      <c r="F24" s="121">
        <f t="shared" si="3"/>
        <v>0.80353066025969511</v>
      </c>
      <c r="G24" s="122">
        <f t="shared" si="6"/>
        <v>30</v>
      </c>
      <c r="H24" s="114">
        <f>ROUND(IF(D24&lt;=SIMULADOR!$C$11,IF(SIMULADOR!$C$11=D24,I24*(1+$E$3)^G24+I24*($F$3*G24),Calculos!$I$6/Calculos!$F$4),0),2)</f>
        <v>1038.9100000000001</v>
      </c>
      <c r="I24" s="114">
        <f>IF(D24&lt;=SIMULADOR!$C$11,I23-H23+M23+L23,0)</f>
        <v>34862.749999999935</v>
      </c>
      <c r="J24" s="114">
        <f>IF(D24&lt;SIMULADOR!$C$11,IF(H24-M24&lt;0,0,H24-M24-L24),I24)</f>
        <v>665.23000000000013</v>
      </c>
      <c r="K24" s="114">
        <f t="shared" si="4"/>
        <v>343.87</v>
      </c>
      <c r="L24" s="123">
        <f t="shared" si="12"/>
        <v>29.81</v>
      </c>
      <c r="M24" s="114">
        <f t="shared" si="13"/>
        <v>343.87</v>
      </c>
      <c r="O24" s="108">
        <f>+SIMULADOR!O41</f>
        <v>1041.9100000000003</v>
      </c>
      <c r="Q24" s="124">
        <f t="shared" si="9"/>
        <v>1041.9100000000001</v>
      </c>
    </row>
    <row r="25" spans="1:20" x14ac:dyDescent="0.25">
      <c r="A25" s="116">
        <f t="shared" si="0"/>
        <v>43992</v>
      </c>
      <c r="B25" s="117">
        <f t="shared" si="1"/>
        <v>44022</v>
      </c>
      <c r="D25" s="107">
        <f t="shared" si="5"/>
        <v>20</v>
      </c>
      <c r="E25" s="120">
        <f t="shared" si="2"/>
        <v>646</v>
      </c>
      <c r="F25" s="121">
        <f t="shared" si="3"/>
        <v>0.7947196630319866</v>
      </c>
      <c r="G25" s="122">
        <f t="shared" si="6"/>
        <v>31</v>
      </c>
      <c r="H25" s="114">
        <f>ROUND(IF(D25&lt;=SIMULADOR!$C$11,IF(SIMULADOR!$C$11=D25,I25*(1+$E$3)^G25+I25*($F$3*G25),Calculos!$I$6/Calculos!$F$4),0),2)</f>
        <v>1038.9100000000001</v>
      </c>
      <c r="I25" s="114">
        <f>IF(D25&lt;=SIMULADOR!$C$11,I24-H24+M24+L24,0)</f>
        <v>34197.519999999931</v>
      </c>
      <c r="J25" s="114">
        <f>IF(D25&lt;SIMULADOR!$C$11,IF(H25-M25&lt;0,0,H25-M25-L25),I25)</f>
        <v>660.09</v>
      </c>
      <c r="K25" s="114">
        <f t="shared" si="4"/>
        <v>348.61</v>
      </c>
      <c r="L25" s="123">
        <f t="shared" si="12"/>
        <v>30.21</v>
      </c>
      <c r="M25" s="114">
        <f t="shared" si="13"/>
        <v>348.61</v>
      </c>
      <c r="O25" s="108">
        <f>+SIMULADOR!O42</f>
        <v>1041.9100000000001</v>
      </c>
      <c r="Q25" s="124">
        <f t="shared" si="9"/>
        <v>1041.9100000000001</v>
      </c>
    </row>
    <row r="26" spans="1:20" x14ac:dyDescent="0.25">
      <c r="A26" s="116">
        <f t="shared" si="0"/>
        <v>44022</v>
      </c>
      <c r="B26" s="117">
        <f t="shared" si="1"/>
        <v>44053</v>
      </c>
      <c r="D26" s="107">
        <f t="shared" si="5"/>
        <v>21</v>
      </c>
      <c r="E26" s="120">
        <f t="shared" si="2"/>
        <v>676</v>
      </c>
      <c r="F26" s="121">
        <f t="shared" si="3"/>
        <v>0.78628489340760244</v>
      </c>
      <c r="G26" s="122">
        <f t="shared" si="6"/>
        <v>30</v>
      </c>
      <c r="H26" s="114">
        <f>ROUND(IF(D26&lt;=SIMULADOR!$C$11,IF(SIMULADOR!$C$11=D26,I26*(1+$E$3)^G26+I26*($F$3*G26),Calculos!$I$6/Calculos!$F$4),0),2)</f>
        <v>1038.9100000000001</v>
      </c>
      <c r="I26" s="114">
        <f>IF(D26&lt;=SIMULADOR!$C$11,I25-H25+M25+L25,0)</f>
        <v>33537.429999999928</v>
      </c>
      <c r="J26" s="114">
        <f>IF(D26&lt;SIMULADOR!$C$11,IF(H26-M26&lt;0,0,H26-M26-L26),I26)</f>
        <v>679.44000000000017</v>
      </c>
      <c r="K26" s="114">
        <f t="shared" si="4"/>
        <v>330.79999999999995</v>
      </c>
      <c r="L26" s="123">
        <f t="shared" si="12"/>
        <v>28.67</v>
      </c>
      <c r="M26" s="114">
        <f t="shared" si="13"/>
        <v>330.8</v>
      </c>
      <c r="O26" s="108">
        <f>+SIMULADOR!O43</f>
        <v>1041.9100000000001</v>
      </c>
      <c r="Q26" s="124">
        <f t="shared" si="9"/>
        <v>1041.9100000000003</v>
      </c>
      <c r="T26" s="125"/>
    </row>
    <row r="27" spans="1:20" x14ac:dyDescent="0.25">
      <c r="A27" s="116">
        <f t="shared" si="0"/>
        <v>44053</v>
      </c>
      <c r="B27" s="117">
        <f t="shared" si="1"/>
        <v>44084</v>
      </c>
      <c r="D27" s="107">
        <f t="shared" si="5"/>
        <v>22</v>
      </c>
      <c r="E27" s="120">
        <f t="shared" si="2"/>
        <v>707</v>
      </c>
      <c r="F27" s="121">
        <f t="shared" si="3"/>
        <v>0.77766300209885708</v>
      </c>
      <c r="G27" s="122">
        <f t="shared" si="6"/>
        <v>31</v>
      </c>
      <c r="H27" s="114">
        <f>ROUND(IF(D27&lt;=SIMULADOR!$C$11,IF(SIMULADOR!$C$11=D27,I27*(1+$E$3)^G27+I27*($F$3*G27),Calculos!$I$6/Calculos!$F$4),0),2)</f>
        <v>1038.9100000000001</v>
      </c>
      <c r="I27" s="114">
        <f>IF(D27&lt;=SIMULADOR!$C$11,I26-H26+M26+L26,0)</f>
        <v>32857.989999999925</v>
      </c>
      <c r="J27" s="114">
        <f>IF(D27&lt;SIMULADOR!$C$11,IF(H27-M27&lt;0,0,H27-M27-L27),I27)</f>
        <v>674.92000000000007</v>
      </c>
      <c r="K27" s="114">
        <f t="shared" si="4"/>
        <v>334.96000000000004</v>
      </c>
      <c r="L27" s="123">
        <f t="shared" si="12"/>
        <v>29.03</v>
      </c>
      <c r="M27" s="114">
        <f t="shared" si="13"/>
        <v>334.96</v>
      </c>
      <c r="O27" s="108">
        <f>+SIMULADOR!O44</f>
        <v>1041.9100000000001</v>
      </c>
      <c r="Q27" s="124">
        <f t="shared" si="9"/>
        <v>1041.9100000000001</v>
      </c>
    </row>
    <row r="28" spans="1:20" x14ac:dyDescent="0.25">
      <c r="A28" s="116">
        <f t="shared" si="0"/>
        <v>44084</v>
      </c>
      <c r="B28" s="117">
        <f t="shared" si="1"/>
        <v>44114</v>
      </c>
      <c r="D28" s="107">
        <f t="shared" si="5"/>
        <v>23</v>
      </c>
      <c r="E28" s="120">
        <f t="shared" si="2"/>
        <v>738</v>
      </c>
      <c r="F28" s="121">
        <f t="shared" si="3"/>
        <v>0.76913565287067698</v>
      </c>
      <c r="G28" s="122">
        <f t="shared" si="6"/>
        <v>31</v>
      </c>
      <c r="H28" s="114">
        <f>ROUND(IF(D28&lt;=SIMULADOR!$C$11,IF(SIMULADOR!$C$11=D28,I28*(1+$E$3)^G28+I28*($F$3*G28),Calculos!$I$6/Calculos!$F$4),0),2)</f>
        <v>1038.9100000000001</v>
      </c>
      <c r="I28" s="114">
        <f>IF(D28&lt;=SIMULADOR!$C$11,I27-H27+M27+L27,0)</f>
        <v>32183.069999999923</v>
      </c>
      <c r="J28" s="114">
        <f>IF(D28&lt;SIMULADOR!$C$11,IF(H28-M28&lt;0,0,H28-M28-L28),I28)</f>
        <v>682.4000000000002</v>
      </c>
      <c r="K28" s="114">
        <f t="shared" si="4"/>
        <v>328.07999999999993</v>
      </c>
      <c r="L28" s="123">
        <f t="shared" si="12"/>
        <v>28.43</v>
      </c>
      <c r="M28" s="114">
        <f t="shared" si="13"/>
        <v>328.08</v>
      </c>
      <c r="O28" s="108">
        <f>+SIMULADOR!O45</f>
        <v>1041.9100000000001</v>
      </c>
      <c r="Q28" s="124">
        <f t="shared" si="9"/>
        <v>1041.9100000000003</v>
      </c>
    </row>
    <row r="29" spans="1:20" x14ac:dyDescent="0.25">
      <c r="A29" s="116">
        <f t="shared" si="0"/>
        <v>44114</v>
      </c>
      <c r="B29" s="117">
        <f t="shared" si="1"/>
        <v>44145</v>
      </c>
      <c r="D29" s="107">
        <f t="shared" si="5"/>
        <v>24</v>
      </c>
      <c r="E29" s="120">
        <f t="shared" si="2"/>
        <v>768</v>
      </c>
      <c r="F29" s="121">
        <f t="shared" si="3"/>
        <v>0.76097241953992778</v>
      </c>
      <c r="G29" s="122">
        <f t="shared" si="6"/>
        <v>30</v>
      </c>
      <c r="H29" s="114">
        <f>ROUND(IF(D29&lt;=SIMULADOR!$C$11,IF(SIMULADOR!$C$11=D29,I29*(1+$E$3)^G29+I29*($F$3*G29),Calculos!$I$6/Calculos!$F$4),0),2)</f>
        <v>1038.9100000000001</v>
      </c>
      <c r="I29" s="114">
        <f>IF(D29&lt;=SIMULADOR!$C$11,I28-H28+M28+L28,0)</f>
        <v>31500.669999999925</v>
      </c>
      <c r="J29" s="114">
        <f>IF(D29&lt;SIMULADOR!$C$11,IF(H29-M29&lt;0,0,H29-M29-L29),I29)</f>
        <v>701.2700000000001</v>
      </c>
      <c r="K29" s="114">
        <f t="shared" si="4"/>
        <v>310.71000000000004</v>
      </c>
      <c r="L29" s="123">
        <f t="shared" si="12"/>
        <v>26.93</v>
      </c>
      <c r="M29" s="114">
        <f t="shared" si="13"/>
        <v>310.70999999999998</v>
      </c>
      <c r="O29" s="108">
        <f>+SIMULADOR!O46</f>
        <v>1041.9100000000001</v>
      </c>
      <c r="Q29" s="124">
        <f t="shared" si="9"/>
        <v>1041.9100000000001</v>
      </c>
    </row>
    <row r="30" spans="1:20" x14ac:dyDescent="0.25">
      <c r="A30" s="116">
        <f t="shared" si="0"/>
        <v>44145</v>
      </c>
      <c r="B30" s="117">
        <f t="shared" si="1"/>
        <v>44175</v>
      </c>
      <c r="D30" s="107">
        <f t="shared" si="5"/>
        <v>25</v>
      </c>
      <c r="E30" s="120">
        <f t="shared" si="2"/>
        <v>799</v>
      </c>
      <c r="F30" s="121">
        <f t="shared" si="3"/>
        <v>0.75262808843903051</v>
      </c>
      <c r="G30" s="122">
        <f t="shared" si="6"/>
        <v>31</v>
      </c>
      <c r="H30" s="114">
        <f>ROUND(IF(D30&lt;=SIMULADOR!$C$11,IF(SIMULADOR!$C$11=D30,I30*(1+$E$3)^G30+I30*($F$3*G30),Calculos!$I$6/Calculos!$F$4),0),2)</f>
        <v>1038.9100000000001</v>
      </c>
      <c r="I30" s="114">
        <f>IF(D30&lt;=SIMULADOR!$C$11,I29-H29+M29+L29,0)</f>
        <v>30799.399999999925</v>
      </c>
      <c r="J30" s="114">
        <f>IF(D30&lt;SIMULADOR!$C$11,IF(H30-M30&lt;0,0,H30-M30-L30),I30)</f>
        <v>697.73</v>
      </c>
      <c r="K30" s="114">
        <f t="shared" si="4"/>
        <v>313.97000000000003</v>
      </c>
      <c r="L30" s="123">
        <f t="shared" si="12"/>
        <v>27.21</v>
      </c>
      <c r="M30" s="114">
        <f t="shared" ref="M30:M37" si="14">ROUND(I30*((1+$E$3)^G30-1),2)</f>
        <v>313.97000000000003</v>
      </c>
      <c r="O30" s="108">
        <f>+SIMULADOR!O47</f>
        <v>1041.9100000000001</v>
      </c>
      <c r="Q30" s="124">
        <f t="shared" si="9"/>
        <v>1041.9100000000001</v>
      </c>
    </row>
    <row r="31" spans="1:20" x14ac:dyDescent="0.25">
      <c r="A31" s="116">
        <f t="shared" si="0"/>
        <v>44175</v>
      </c>
      <c r="B31" s="117">
        <f t="shared" si="1"/>
        <v>44206</v>
      </c>
      <c r="D31" s="107">
        <f t="shared" si="5"/>
        <v>26</v>
      </c>
      <c r="E31" s="120">
        <f t="shared" si="2"/>
        <v>829</v>
      </c>
      <c r="F31" s="121">
        <f t="shared" si="3"/>
        <v>0.7446400584026226</v>
      </c>
      <c r="G31" s="122">
        <f t="shared" si="6"/>
        <v>30</v>
      </c>
      <c r="H31" s="114">
        <f>ROUND(IF(D31&lt;=SIMULADOR!$C$11,IF(SIMULADOR!$C$11=D31,I31*(1+$E$3)^G31+I31*($F$3*G31),Calculos!$I$6/Calculos!$F$4),0),2)</f>
        <v>1038.9100000000001</v>
      </c>
      <c r="I31" s="114">
        <f>IF(D31&lt;=SIMULADOR!$C$11,I30-H30+M30+L30,0)</f>
        <v>30101.669999999925</v>
      </c>
      <c r="J31" s="114">
        <f>IF(D31&lt;SIMULADOR!$C$11,IF(H31-M31&lt;0,0,H31-M31-L31),I31)</f>
        <v>716.26</v>
      </c>
      <c r="K31" s="114">
        <f t="shared" si="4"/>
        <v>296.91000000000008</v>
      </c>
      <c r="L31" s="123">
        <f t="shared" si="12"/>
        <v>25.74</v>
      </c>
      <c r="M31" s="114">
        <f t="shared" si="14"/>
        <v>296.91000000000003</v>
      </c>
      <c r="O31" s="108">
        <f>+SIMULADOR!O48</f>
        <v>1041.9100000000001</v>
      </c>
      <c r="Q31" s="124">
        <f t="shared" si="9"/>
        <v>1041.9100000000001</v>
      </c>
    </row>
    <row r="32" spans="1:20" x14ac:dyDescent="0.25">
      <c r="A32" s="116">
        <f t="shared" si="0"/>
        <v>44206</v>
      </c>
      <c r="B32" s="117">
        <f t="shared" si="1"/>
        <v>44237</v>
      </c>
      <c r="D32" s="107">
        <f t="shared" si="5"/>
        <v>27</v>
      </c>
      <c r="E32" s="120">
        <f t="shared" si="2"/>
        <v>860</v>
      </c>
      <c r="F32" s="121">
        <f t="shared" si="3"/>
        <v>0.73647481740471721</v>
      </c>
      <c r="G32" s="122">
        <f t="shared" si="6"/>
        <v>31</v>
      </c>
      <c r="H32" s="114">
        <f>ROUND(IF(D32&lt;=SIMULADOR!$C$11,IF(SIMULADOR!$C$11=D32,I32*(1+$E$3)^G32+I32*($F$3*G32),Calculos!$I$6/Calculos!$F$4),0),2)</f>
        <v>1038.9100000000001</v>
      </c>
      <c r="I32" s="114">
        <f>IF(D32&lt;=SIMULADOR!$C$11,I31-H31+M31+L31,0)</f>
        <v>29385.409999999927</v>
      </c>
      <c r="J32" s="114">
        <f>IF(D32&lt;SIMULADOR!$C$11,IF(H32-M32&lt;0,0,H32-M32-L32),I32)</f>
        <v>713.3900000000001</v>
      </c>
      <c r="K32" s="114">
        <f t="shared" si="4"/>
        <v>299.55999999999995</v>
      </c>
      <c r="L32" s="123">
        <f t="shared" si="12"/>
        <v>25.96</v>
      </c>
      <c r="M32" s="114">
        <f t="shared" si="14"/>
        <v>299.56</v>
      </c>
      <c r="O32" s="108">
        <f>+SIMULADOR!O49</f>
        <v>1041.9100000000001</v>
      </c>
      <c r="Q32" s="124">
        <f t="shared" si="9"/>
        <v>1041.9100000000001</v>
      </c>
    </row>
    <row r="33" spans="1:17" x14ac:dyDescent="0.25">
      <c r="A33" s="116">
        <f t="shared" si="0"/>
        <v>44237</v>
      </c>
      <c r="B33" s="117">
        <f t="shared" si="1"/>
        <v>44265</v>
      </c>
      <c r="D33" s="107">
        <f t="shared" si="5"/>
        <v>28</v>
      </c>
      <c r="E33" s="120">
        <f t="shared" si="2"/>
        <v>891</v>
      </c>
      <c r="F33" s="121">
        <f t="shared" si="3"/>
        <v>0.7283991111555832</v>
      </c>
      <c r="G33" s="122">
        <f t="shared" si="6"/>
        <v>31</v>
      </c>
      <c r="H33" s="114">
        <f>ROUND(IF(D33&lt;=SIMULADOR!$C$11,IF(SIMULADOR!$C$11=D33,I33*(1+$E$3)^G33+I33*($F$3*G33),Calculos!$I$6/Calculos!$F$4),0),2)</f>
        <v>1038.9100000000001</v>
      </c>
      <c r="I33" s="114">
        <f>IF(D33&lt;=SIMULADOR!$C$11,I32-H32+M32+L32,0)</f>
        <v>28672.019999999928</v>
      </c>
      <c r="J33" s="114">
        <f>IF(D33&lt;SIMULADOR!$C$11,IF(H33-M33&lt;0,0,H33-M33-L33),I33)</f>
        <v>721.30000000000007</v>
      </c>
      <c r="K33" s="114">
        <f t="shared" si="4"/>
        <v>292.27999999999997</v>
      </c>
      <c r="L33" s="123">
        <f t="shared" si="12"/>
        <v>25.33</v>
      </c>
      <c r="M33" s="114">
        <f t="shared" si="14"/>
        <v>292.27999999999997</v>
      </c>
      <c r="O33" s="108">
        <f>+SIMULADOR!O50</f>
        <v>1041.9100000000001</v>
      </c>
      <c r="Q33" s="124">
        <f t="shared" si="9"/>
        <v>1041.9100000000001</v>
      </c>
    </row>
    <row r="34" spans="1:17" x14ac:dyDescent="0.25">
      <c r="A34" s="116">
        <f t="shared" si="0"/>
        <v>44265</v>
      </c>
      <c r="B34" s="117">
        <f t="shared" si="1"/>
        <v>44296</v>
      </c>
      <c r="D34" s="107">
        <f t="shared" si="5"/>
        <v>29</v>
      </c>
      <c r="E34" s="120">
        <f t="shared" si="2"/>
        <v>919</v>
      </c>
      <c r="F34" s="121">
        <f t="shared" si="3"/>
        <v>0.72118106503576074</v>
      </c>
      <c r="G34" s="122">
        <f t="shared" si="6"/>
        <v>28</v>
      </c>
      <c r="H34" s="114">
        <f>ROUND(IF(D34&lt;=SIMULADOR!$C$11,IF(SIMULADOR!$C$11=D34,I34*(1+$E$3)^G34+I34*($F$3*G34),Calculos!$I$6/Calculos!$F$4),0),2)</f>
        <v>1038.9100000000001</v>
      </c>
      <c r="I34" s="114">
        <f>IF(D34&lt;=SIMULADOR!$C$11,I33-H33+M33+L33,0)</f>
        <v>27950.719999999928</v>
      </c>
      <c r="J34" s="114">
        <f>IF(D34&lt;SIMULADOR!$C$11,IF(H34-M34&lt;0,0,H34-M34-L34),I34)</f>
        <v>759.38000000000011</v>
      </c>
      <c r="K34" s="114">
        <f t="shared" si="4"/>
        <v>257.23</v>
      </c>
      <c r="L34" s="123">
        <f t="shared" si="12"/>
        <v>22.3</v>
      </c>
      <c r="M34" s="114">
        <f t="shared" si="14"/>
        <v>257.23</v>
      </c>
      <c r="O34" s="108">
        <f>+SIMULADOR!O51</f>
        <v>1041.9100000000001</v>
      </c>
      <c r="Q34" s="124">
        <f t="shared" si="9"/>
        <v>1041.9100000000001</v>
      </c>
    </row>
    <row r="35" spans="1:17" x14ac:dyDescent="0.25">
      <c r="A35" s="116">
        <f t="shared" si="0"/>
        <v>44296</v>
      </c>
      <c r="B35" s="117">
        <f t="shared" si="1"/>
        <v>44326</v>
      </c>
      <c r="D35" s="107">
        <f t="shared" si="5"/>
        <v>30</v>
      </c>
      <c r="E35" s="120">
        <f t="shared" si="2"/>
        <v>950</v>
      </c>
      <c r="F35" s="121">
        <f t="shared" si="3"/>
        <v>0.71327306017798431</v>
      </c>
      <c r="G35" s="122">
        <f t="shared" si="6"/>
        <v>31</v>
      </c>
      <c r="H35" s="114">
        <f>ROUND(IF(D35&lt;=SIMULADOR!$C$11,IF(SIMULADOR!$C$11=D35,I35*(1+$E$3)^G35+I35*($F$3*G35),Calculos!$I$6/Calculos!$F$4),0),2)</f>
        <v>1038.9100000000001</v>
      </c>
      <c r="I35" s="114">
        <f>IF(D35&lt;=SIMULADOR!$C$11,I34-H34+M34+L34,0)</f>
        <v>27191.339999999927</v>
      </c>
      <c r="J35" s="114">
        <f>IF(D35&lt;SIMULADOR!$C$11,IF(H35-M35&lt;0,0,H35-M35-L35),I35)</f>
        <v>737.7</v>
      </c>
      <c r="K35" s="114">
        <f t="shared" si="4"/>
        <v>277.19000000000005</v>
      </c>
      <c r="L35" s="123">
        <f t="shared" si="12"/>
        <v>24.02</v>
      </c>
      <c r="M35" s="114">
        <f t="shared" si="14"/>
        <v>277.19</v>
      </c>
      <c r="O35" s="108">
        <f>+SIMULADOR!O52</f>
        <v>1041.9100000000001</v>
      </c>
      <c r="Q35" s="124">
        <f t="shared" si="9"/>
        <v>1041.9100000000001</v>
      </c>
    </row>
    <row r="36" spans="1:17" x14ac:dyDescent="0.25">
      <c r="A36" s="116">
        <f t="shared" si="0"/>
        <v>44326</v>
      </c>
      <c r="B36" s="117">
        <f t="shared" si="1"/>
        <v>44357</v>
      </c>
      <c r="D36" s="107">
        <f t="shared" si="5"/>
        <v>31</v>
      </c>
      <c r="E36" s="120">
        <f t="shared" si="2"/>
        <v>980</v>
      </c>
      <c r="F36" s="121">
        <f t="shared" si="3"/>
        <v>0.70570272535208178</v>
      </c>
      <c r="G36" s="122">
        <f t="shared" si="6"/>
        <v>30</v>
      </c>
      <c r="H36" s="114">
        <f>ROUND(IF(D36&lt;=SIMULADOR!$C$11,IF(SIMULADOR!$C$11=D36,I36*(1+$E$3)^G36+I36*($F$3*G36),Calculos!$I$6/Calculos!$F$4),0),2)</f>
        <v>1038.9100000000001</v>
      </c>
      <c r="I36" s="114">
        <f>IF(D36&lt;=SIMULADOR!$C$11,I35-H35+M35+L35,0)</f>
        <v>26453.639999999927</v>
      </c>
      <c r="J36" s="114">
        <f>IF(D36&lt;SIMULADOR!$C$11,IF(H36-M36&lt;0,0,H36-M36-L36),I36)</f>
        <v>755.36</v>
      </c>
      <c r="K36" s="114">
        <f t="shared" si="4"/>
        <v>260.93000000000006</v>
      </c>
      <c r="L36" s="123">
        <f t="shared" si="12"/>
        <v>22.62</v>
      </c>
      <c r="M36" s="114">
        <f t="shared" si="14"/>
        <v>260.93</v>
      </c>
      <c r="O36" s="108">
        <f>+SIMULADOR!O53</f>
        <v>1041.9100000000001</v>
      </c>
      <c r="Q36" s="124">
        <f t="shared" si="9"/>
        <v>1041.9100000000001</v>
      </c>
    </row>
    <row r="37" spans="1:17" x14ac:dyDescent="0.25">
      <c r="A37" s="116">
        <f t="shared" si="0"/>
        <v>44357</v>
      </c>
      <c r="B37" s="117">
        <f t="shared" si="1"/>
        <v>44387</v>
      </c>
      <c r="D37" s="107">
        <f t="shared" si="5"/>
        <v>32</v>
      </c>
      <c r="E37" s="120">
        <f t="shared" si="2"/>
        <v>1011</v>
      </c>
      <c r="F37" s="121">
        <f t="shared" si="3"/>
        <v>0.69796444595070328</v>
      </c>
      <c r="G37" s="122">
        <f t="shared" si="6"/>
        <v>31</v>
      </c>
      <c r="H37" s="114">
        <f>ROUND(IF(D37&lt;=SIMULADOR!$C$11,IF(SIMULADOR!$C$11=D37,I37*(1+$E$3)^G37+I37*($F$3*G37),Calculos!$I$6/Calculos!$F$4),0),2)</f>
        <v>1038.9100000000001</v>
      </c>
      <c r="I37" s="114">
        <f>IF(D37&lt;=SIMULADOR!$C$11,I36-H36+M36+L36,0)</f>
        <v>25698.279999999926</v>
      </c>
      <c r="J37" s="114">
        <f>IF(D37&lt;SIMULADOR!$C$11,IF(H37-M37&lt;0,0,H37-M37-L37),I37)</f>
        <v>754.24</v>
      </c>
      <c r="K37" s="114">
        <f t="shared" si="4"/>
        <v>261.97000000000003</v>
      </c>
      <c r="L37" s="123">
        <f t="shared" si="12"/>
        <v>22.7</v>
      </c>
      <c r="M37" s="114">
        <f t="shared" si="14"/>
        <v>261.97000000000003</v>
      </c>
      <c r="O37" s="108">
        <f>+SIMULADOR!O54</f>
        <v>1041.9100000000001</v>
      </c>
      <c r="Q37" s="124">
        <f t="shared" si="9"/>
        <v>1041.9100000000001</v>
      </c>
    </row>
    <row r="38" spans="1:17" x14ac:dyDescent="0.25">
      <c r="A38" s="116">
        <f t="shared" ref="A38:A69" si="15">+B37</f>
        <v>44387</v>
      </c>
      <c r="B38" s="117">
        <f t="shared" ref="B38:B69" si="16">+EDATE(A38,1)</f>
        <v>44418</v>
      </c>
      <c r="D38" s="107">
        <f t="shared" si="5"/>
        <v>33</v>
      </c>
      <c r="E38" s="120">
        <f t="shared" ref="E38:E69" si="17">+B37-$A$5</f>
        <v>1041</v>
      </c>
      <c r="F38" s="121">
        <f t="shared" ref="F38:F69" si="18">1/((1+$E$3)^E38*(1+$F$3)^E38)</f>
        <v>0.69055658934231801</v>
      </c>
      <c r="G38" s="122">
        <f t="shared" si="6"/>
        <v>30</v>
      </c>
      <c r="H38" s="114">
        <f>ROUND(IF(D38&lt;=SIMULADOR!$C$11,IF(SIMULADOR!$C$11=D38,I38*(1+$E$3)^G38+I38*($F$3*G38),Calculos!$I$6/Calculos!$F$4),0),2)</f>
        <v>1038.9100000000001</v>
      </c>
      <c r="I38" s="114">
        <f>IF(D38&lt;=SIMULADOR!$C$11,I37-H37+M37+L37,0)</f>
        <v>24944.039999999928</v>
      </c>
      <c r="J38" s="114">
        <f>IF(D38&lt;SIMULADOR!$C$11,IF(H38-M38&lt;0,0,H38-M38-L38),I38)</f>
        <v>771.54000000000008</v>
      </c>
      <c r="K38" s="114">
        <f t="shared" ref="K38:K69" si="19">+H38-L38-J38</f>
        <v>246.03999999999996</v>
      </c>
      <c r="L38" s="123">
        <f t="shared" ref="L38:L69" si="20">ROUND(I38*(($F$3*G38)),2)</f>
        <v>21.33</v>
      </c>
      <c r="M38" s="114">
        <f t="shared" ref="M38:M69" si="21">ROUND(I38*((1+$E$3)^G38-1),2)</f>
        <v>246.04</v>
      </c>
      <c r="O38" s="108">
        <f>+SIMULADOR!O55</f>
        <v>1041.9100000000001</v>
      </c>
      <c r="Q38" s="124">
        <f t="shared" si="9"/>
        <v>1041.9100000000001</v>
      </c>
    </row>
    <row r="39" spans="1:17" x14ac:dyDescent="0.25">
      <c r="A39" s="116">
        <f t="shared" si="15"/>
        <v>44418</v>
      </c>
      <c r="B39" s="117">
        <f t="shared" si="16"/>
        <v>44449</v>
      </c>
      <c r="D39" s="107">
        <f t="shared" si="5"/>
        <v>34</v>
      </c>
      <c r="E39" s="120">
        <f t="shared" si="17"/>
        <v>1072</v>
      </c>
      <c r="F39" s="121">
        <f t="shared" si="18"/>
        <v>0.68298439266682986</v>
      </c>
      <c r="G39" s="122">
        <f t="shared" ref="G39:G70" si="22">+E39-E38</f>
        <v>31</v>
      </c>
      <c r="H39" s="114">
        <f>ROUND(IF(D39&lt;=SIMULADOR!$C$11,IF(SIMULADOR!$C$11=D39,I39*(1+$E$3)^G39+I39*($F$3*G39),Calculos!$I$6/Calculos!$F$4),0),2)</f>
        <v>1038.9100000000001</v>
      </c>
      <c r="I39" s="114">
        <f>IF(D39&lt;=SIMULADOR!$C$11,I38-H38+M38+L38,0)</f>
        <v>24172.499999999931</v>
      </c>
      <c r="J39" s="114">
        <f>IF(D39&lt;SIMULADOR!$C$11,IF(H39-M39&lt;0,0,H39-M39-L39),I39)</f>
        <v>771.13000000000011</v>
      </c>
      <c r="K39" s="114">
        <f t="shared" si="19"/>
        <v>246.41999999999996</v>
      </c>
      <c r="L39" s="123">
        <f t="shared" si="20"/>
        <v>21.36</v>
      </c>
      <c r="M39" s="114">
        <f t="shared" si="21"/>
        <v>246.42</v>
      </c>
      <c r="O39" s="108">
        <f>+SIMULADOR!O56</f>
        <v>1041.9100000000001</v>
      </c>
      <c r="Q39" s="124">
        <f t="shared" si="9"/>
        <v>1041.9100000000001</v>
      </c>
    </row>
    <row r="40" spans="1:17" x14ac:dyDescent="0.25">
      <c r="A40" s="116">
        <f t="shared" si="15"/>
        <v>44449</v>
      </c>
      <c r="B40" s="117">
        <f t="shared" si="16"/>
        <v>44479</v>
      </c>
      <c r="D40" s="107">
        <f t="shared" si="5"/>
        <v>35</v>
      </c>
      <c r="E40" s="120">
        <f t="shared" si="17"/>
        <v>1103</v>
      </c>
      <c r="F40" s="121">
        <f t="shared" si="18"/>
        <v>0.67549522779985283</v>
      </c>
      <c r="G40" s="122">
        <f t="shared" si="22"/>
        <v>31</v>
      </c>
      <c r="H40" s="114">
        <f>ROUND(IF(D40&lt;=SIMULADOR!$C$11,IF(SIMULADOR!$C$11=D40,I40*(1+$E$3)^G40+I40*($F$3*G40),Calculos!$I$6/Calculos!$F$4),0),2)</f>
        <v>1038.9100000000001</v>
      </c>
      <c r="I40" s="114">
        <f>IF(D40&lt;=SIMULADOR!$C$11,I39-H39+M39+L39,0)</f>
        <v>23401.36999999993</v>
      </c>
      <c r="J40" s="114">
        <f>IF(D40&lt;SIMULADOR!$C$11,IF(H40-M40&lt;0,0,H40-M40-L40),I40)</f>
        <v>779.68000000000018</v>
      </c>
      <c r="K40" s="114">
        <f t="shared" si="19"/>
        <v>238.54999999999995</v>
      </c>
      <c r="L40" s="123">
        <f t="shared" si="20"/>
        <v>20.68</v>
      </c>
      <c r="M40" s="114">
        <f t="shared" si="21"/>
        <v>238.55</v>
      </c>
      <c r="O40" s="108">
        <f>+SIMULADOR!O57</f>
        <v>1041.9100000000001</v>
      </c>
      <c r="Q40" s="124">
        <f t="shared" si="9"/>
        <v>1041.9100000000003</v>
      </c>
    </row>
    <row r="41" spans="1:17" x14ac:dyDescent="0.25">
      <c r="A41" s="116">
        <f t="shared" si="15"/>
        <v>44479</v>
      </c>
      <c r="B41" s="117">
        <f t="shared" si="16"/>
        <v>44510</v>
      </c>
      <c r="D41" s="107">
        <f t="shared" si="5"/>
        <v>36</v>
      </c>
      <c r="E41" s="120">
        <f t="shared" si="17"/>
        <v>1133</v>
      </c>
      <c r="F41" s="121">
        <f t="shared" si="18"/>
        <v>0.66832584859118316</v>
      </c>
      <c r="G41" s="122">
        <f t="shared" si="22"/>
        <v>30</v>
      </c>
      <c r="H41" s="114">
        <f>ROUND(IF(D41&lt;=SIMULADOR!$C$11,IF(SIMULADOR!$C$11=D41,I41*(1+$E$3)^G41+I41*($F$3*G41),Calculos!$I$6/Calculos!$F$4),0),2)</f>
        <v>1038.9100000000001</v>
      </c>
      <c r="I41" s="114">
        <f>IF(D41&lt;=SIMULADOR!$C$11,I40-H40+M40+L40,0)</f>
        <v>22621.68999999993</v>
      </c>
      <c r="J41" s="114">
        <f>IF(D41&lt;SIMULADOR!$C$11,IF(H41-M41&lt;0,0,H41-M41-L41),I41)</f>
        <v>796.44</v>
      </c>
      <c r="K41" s="114">
        <f t="shared" si="19"/>
        <v>223.13</v>
      </c>
      <c r="L41" s="123">
        <f t="shared" si="20"/>
        <v>19.34</v>
      </c>
      <c r="M41" s="114">
        <f t="shared" si="21"/>
        <v>223.13</v>
      </c>
      <c r="O41" s="108">
        <f>+SIMULADOR!O58</f>
        <v>1041.9100000000001</v>
      </c>
      <c r="Q41" s="124">
        <f t="shared" si="9"/>
        <v>1041.9100000000001</v>
      </c>
    </row>
    <row r="42" spans="1:17" x14ac:dyDescent="0.25">
      <c r="A42" s="117">
        <f t="shared" si="15"/>
        <v>44510</v>
      </c>
      <c r="B42" s="117">
        <f t="shared" si="16"/>
        <v>44540</v>
      </c>
      <c r="D42" s="109">
        <f t="shared" si="5"/>
        <v>37</v>
      </c>
      <c r="E42" s="118">
        <f t="shared" si="17"/>
        <v>1164</v>
      </c>
      <c r="F42" s="126">
        <f t="shared" si="18"/>
        <v>0.66099741983248483</v>
      </c>
      <c r="G42" s="127">
        <f t="shared" si="22"/>
        <v>31</v>
      </c>
      <c r="H42" s="128">
        <f>ROUND(IF(D42&lt;=SIMULADOR!$C$11,IF(SIMULADOR!$C$11=D42,I42*(1+$E$3)^G42+I42*($F$3*G42),Calculos!$I$6/Calculos!$F$4),0),2)</f>
        <v>1038.9100000000001</v>
      </c>
      <c r="I42" s="128">
        <f>IF(D42&lt;=SIMULADOR!$C$11,I41-H41+M41+L41,0)</f>
        <v>21825.249999999931</v>
      </c>
      <c r="J42" s="128">
        <f>IF(D42&lt;SIMULADOR!$C$11,IF(H42-M42&lt;0,0,H42-M42-L42),I42)</f>
        <v>797.1400000000001</v>
      </c>
      <c r="K42" s="128">
        <f t="shared" si="19"/>
        <v>222.49</v>
      </c>
      <c r="L42" s="129">
        <f t="shared" si="20"/>
        <v>19.28</v>
      </c>
      <c r="M42" s="128">
        <f t="shared" si="21"/>
        <v>222.49</v>
      </c>
      <c r="O42" s="129">
        <f>+SIMULADOR!O59</f>
        <v>1041.9100000000001</v>
      </c>
      <c r="Q42" s="124">
        <f t="shared" si="9"/>
        <v>1041.9100000000001</v>
      </c>
    </row>
    <row r="43" spans="1:17" x14ac:dyDescent="0.25">
      <c r="A43" s="117">
        <f t="shared" si="15"/>
        <v>44540</v>
      </c>
      <c r="B43" s="117">
        <f t="shared" si="16"/>
        <v>44571</v>
      </c>
      <c r="D43" s="109">
        <f t="shared" si="5"/>
        <v>38</v>
      </c>
      <c r="E43" s="118">
        <f t="shared" si="17"/>
        <v>1194</v>
      </c>
      <c r="F43" s="126">
        <f t="shared" si="18"/>
        <v>0.65398191333635969</v>
      </c>
      <c r="G43" s="127">
        <f t="shared" si="22"/>
        <v>30</v>
      </c>
      <c r="H43" s="128">
        <f>ROUND(IF(D43&lt;=SIMULADOR!$C$11,IF(SIMULADOR!$C$11=D43,I43*(1+$E$3)^G43+I43*($F$3*G43),Calculos!$I$6/Calculos!$F$4),0),2)</f>
        <v>1038.9100000000001</v>
      </c>
      <c r="I43" s="128">
        <f>IF(D43&lt;=SIMULADOR!$C$11,I42-H42+M42+L42,0)</f>
        <v>21028.109999999931</v>
      </c>
      <c r="J43" s="128">
        <f>IF(D43&lt;SIMULADOR!$C$11,IF(H43-M43&lt;0,0,H43-M43-L43),I43)</f>
        <v>813.5200000000001</v>
      </c>
      <c r="K43" s="128">
        <f t="shared" si="19"/>
        <v>207.40999999999997</v>
      </c>
      <c r="L43" s="129">
        <f t="shared" si="20"/>
        <v>17.98</v>
      </c>
      <c r="M43" s="128">
        <f t="shared" si="21"/>
        <v>207.41</v>
      </c>
      <c r="O43" s="129">
        <f>+SIMULADOR!O60</f>
        <v>1041.9100000000001</v>
      </c>
      <c r="Q43" s="124">
        <f t="shared" si="9"/>
        <v>1041.9100000000001</v>
      </c>
    </row>
    <row r="44" spans="1:17" x14ac:dyDescent="0.25">
      <c r="A44" s="117">
        <f t="shared" si="15"/>
        <v>44571</v>
      </c>
      <c r="B44" s="117">
        <f t="shared" si="16"/>
        <v>44602</v>
      </c>
      <c r="D44" s="109">
        <f t="shared" si="5"/>
        <v>39</v>
      </c>
      <c r="E44" s="118">
        <f t="shared" si="17"/>
        <v>1225</v>
      </c>
      <c r="F44" s="126">
        <f t="shared" si="18"/>
        <v>0.64681077088920536</v>
      </c>
      <c r="G44" s="127">
        <f t="shared" si="22"/>
        <v>31</v>
      </c>
      <c r="H44" s="128">
        <f>ROUND(IF(D44&lt;=SIMULADOR!$C$11,IF(SIMULADOR!$C$11=D44,I44*(1+$E$3)^G44+I44*($F$3*G44),Calculos!$I$6/Calculos!$F$4),0),2)</f>
        <v>1038.9100000000001</v>
      </c>
      <c r="I44" s="128">
        <f>IF(D44&lt;=SIMULADOR!$C$11,I43-H43+M43+L43,0)</f>
        <v>20214.589999999931</v>
      </c>
      <c r="J44" s="128">
        <f>IF(D44&lt;SIMULADOR!$C$11,IF(H44-M44&lt;0,0,H44-M44-L44),I44)</f>
        <v>814.98000000000013</v>
      </c>
      <c r="K44" s="128">
        <f t="shared" si="19"/>
        <v>206.06999999999994</v>
      </c>
      <c r="L44" s="129">
        <f t="shared" si="20"/>
        <v>17.86</v>
      </c>
      <c r="M44" s="128">
        <f t="shared" si="21"/>
        <v>206.07</v>
      </c>
      <c r="O44" s="129">
        <f>+SIMULADOR!O61</f>
        <v>1041.9100000000001</v>
      </c>
      <c r="Q44" s="124">
        <f t="shared" si="9"/>
        <v>1041.9100000000001</v>
      </c>
    </row>
    <row r="45" spans="1:17" x14ac:dyDescent="0.25">
      <c r="A45" s="117">
        <f t="shared" si="15"/>
        <v>44602</v>
      </c>
      <c r="B45" s="117">
        <f t="shared" si="16"/>
        <v>44630</v>
      </c>
      <c r="D45" s="109">
        <f t="shared" si="5"/>
        <v>40</v>
      </c>
      <c r="E45" s="118">
        <f t="shared" si="17"/>
        <v>1256</v>
      </c>
      <c r="F45" s="126">
        <f t="shared" si="18"/>
        <v>0.63971826254943009</v>
      </c>
      <c r="G45" s="127">
        <f t="shared" si="22"/>
        <v>31</v>
      </c>
      <c r="H45" s="128">
        <f>ROUND(IF(D45&lt;=SIMULADOR!$C$11,IF(SIMULADOR!$C$11=D45,I45*(1+$E$3)^G45+I45*($F$3*G45),Calculos!$I$6/Calculos!$F$4),0),2)</f>
        <v>1038.9100000000001</v>
      </c>
      <c r="I45" s="128">
        <f>IF(D45&lt;=SIMULADOR!$C$11,I44-H44+M44+L44,0)</f>
        <v>19399.609999999931</v>
      </c>
      <c r="J45" s="128">
        <f>IF(D45&lt;SIMULADOR!$C$11,IF(H45-M45&lt;0,0,H45-M45-L45),I45)</f>
        <v>824.0100000000001</v>
      </c>
      <c r="K45" s="128">
        <f t="shared" si="19"/>
        <v>197.76</v>
      </c>
      <c r="L45" s="129">
        <f t="shared" si="20"/>
        <v>17.14</v>
      </c>
      <c r="M45" s="128">
        <f t="shared" si="21"/>
        <v>197.76</v>
      </c>
      <c r="O45" s="129">
        <f>+SIMULADOR!O62</f>
        <v>1041.9100000000001</v>
      </c>
      <c r="Q45" s="124">
        <f t="shared" si="9"/>
        <v>1041.9100000000001</v>
      </c>
    </row>
    <row r="46" spans="1:17" x14ac:dyDescent="0.25">
      <c r="A46" s="117">
        <f t="shared" si="15"/>
        <v>44630</v>
      </c>
      <c r="B46" s="117">
        <f t="shared" si="16"/>
        <v>44661</v>
      </c>
      <c r="D46" s="109">
        <f t="shared" si="5"/>
        <v>41</v>
      </c>
      <c r="E46" s="118">
        <f t="shared" si="17"/>
        <v>1284</v>
      </c>
      <c r="F46" s="126">
        <f t="shared" si="18"/>
        <v>0.63337899627074301</v>
      </c>
      <c r="G46" s="127">
        <f t="shared" si="22"/>
        <v>28</v>
      </c>
      <c r="H46" s="128">
        <f>ROUND(IF(D46&lt;=SIMULADOR!$C$11,IF(SIMULADOR!$C$11=D46,I46*(1+$E$3)^G46+I46*($F$3*G46),Calculos!$I$6/Calculos!$F$4),0),2)</f>
        <v>1038.9100000000001</v>
      </c>
      <c r="I46" s="128">
        <f>IF(D46&lt;=SIMULADOR!$C$11,I45-H45+M45+L45,0)</f>
        <v>18575.599999999929</v>
      </c>
      <c r="J46" s="128">
        <f>IF(D46&lt;SIMULADOR!$C$11,IF(H46-M46&lt;0,0,H46-M46-L46),I46)</f>
        <v>853.14</v>
      </c>
      <c r="K46" s="128">
        <f t="shared" si="19"/>
        <v>170.95000000000016</v>
      </c>
      <c r="L46" s="129">
        <f t="shared" si="20"/>
        <v>14.82</v>
      </c>
      <c r="M46" s="128">
        <f t="shared" si="21"/>
        <v>170.95</v>
      </c>
      <c r="O46" s="129">
        <f>+SIMULADOR!O63</f>
        <v>1041.9100000000003</v>
      </c>
      <c r="Q46" s="124">
        <f t="shared" si="9"/>
        <v>1041.9099999999999</v>
      </c>
    </row>
    <row r="47" spans="1:17" x14ac:dyDescent="0.25">
      <c r="A47" s="117">
        <f t="shared" si="15"/>
        <v>44661</v>
      </c>
      <c r="B47" s="117">
        <f t="shared" si="16"/>
        <v>44691</v>
      </c>
      <c r="D47" s="109">
        <f t="shared" si="5"/>
        <v>42</v>
      </c>
      <c r="E47" s="118">
        <f t="shared" si="17"/>
        <v>1315</v>
      </c>
      <c r="F47" s="126">
        <f t="shared" si="18"/>
        <v>0.6264337720792641</v>
      </c>
      <c r="G47" s="127">
        <f t="shared" si="22"/>
        <v>31</v>
      </c>
      <c r="H47" s="128">
        <f>ROUND(IF(D47&lt;=SIMULADOR!$C$11,IF(SIMULADOR!$C$11=D47,I47*(1+$E$3)^G47+I47*($F$3*G47),Calculos!$I$6/Calculos!$F$4),0),2)</f>
        <v>1038.9100000000001</v>
      </c>
      <c r="I47" s="128">
        <f>IF(D47&lt;=SIMULADOR!$C$11,I46-H46+M46+L46,0)</f>
        <v>17722.45999999993</v>
      </c>
      <c r="J47" s="128">
        <f>IF(D47&lt;SIMULADOR!$C$11,IF(H47-M47&lt;0,0,H47-M47-L47),I47)</f>
        <v>842.59000000000015</v>
      </c>
      <c r="K47" s="128">
        <f t="shared" si="19"/>
        <v>180.65999999999997</v>
      </c>
      <c r="L47" s="129">
        <f t="shared" si="20"/>
        <v>15.66</v>
      </c>
      <c r="M47" s="128">
        <f t="shared" si="21"/>
        <v>180.66</v>
      </c>
      <c r="O47" s="129">
        <f>+SIMULADOR!O64</f>
        <v>1041.9100000000001</v>
      </c>
      <c r="Q47" s="124">
        <f t="shared" si="9"/>
        <v>1041.9100000000001</v>
      </c>
    </row>
    <row r="48" spans="1:17" x14ac:dyDescent="0.25">
      <c r="A48" s="117">
        <f t="shared" si="15"/>
        <v>44691</v>
      </c>
      <c r="B48" s="117">
        <f t="shared" si="16"/>
        <v>44722</v>
      </c>
      <c r="D48" s="109">
        <f t="shared" si="5"/>
        <v>43</v>
      </c>
      <c r="E48" s="118">
        <f t="shared" si="17"/>
        <v>1345</v>
      </c>
      <c r="F48" s="126">
        <f t="shared" si="18"/>
        <v>0.61978510740137815</v>
      </c>
      <c r="G48" s="127">
        <f t="shared" si="22"/>
        <v>30</v>
      </c>
      <c r="H48" s="128">
        <f>ROUND(IF(D48&lt;=SIMULADOR!$C$11,IF(SIMULADOR!$C$11=D48,I48*(1+$E$3)^G48+I48*($F$3*G48),Calculos!$I$6/Calculos!$F$4),0),2)</f>
        <v>1038.9100000000001</v>
      </c>
      <c r="I48" s="128">
        <f>IF(D48&lt;=SIMULADOR!$C$11,I47-H47+M47+L47,0)</f>
        <v>16879.86999999993</v>
      </c>
      <c r="J48" s="128">
        <f>IF(D48&lt;SIMULADOR!$C$11,IF(H48-M48&lt;0,0,H48-M48-L48),I48)</f>
        <v>857.98000000000013</v>
      </c>
      <c r="K48" s="128">
        <f t="shared" si="19"/>
        <v>166.49999999999989</v>
      </c>
      <c r="L48" s="129">
        <f t="shared" si="20"/>
        <v>14.43</v>
      </c>
      <c r="M48" s="128">
        <f t="shared" si="21"/>
        <v>166.5</v>
      </c>
      <c r="O48" s="129">
        <f>+SIMULADOR!O65</f>
        <v>1041.9099999999999</v>
      </c>
      <c r="Q48" s="124">
        <f t="shared" si="9"/>
        <v>1041.9100000000001</v>
      </c>
    </row>
    <row r="49" spans="1:17" x14ac:dyDescent="0.25">
      <c r="A49" s="117">
        <f t="shared" si="15"/>
        <v>44722</v>
      </c>
      <c r="B49" s="117">
        <f t="shared" si="16"/>
        <v>44752</v>
      </c>
      <c r="D49" s="109">
        <f t="shared" si="5"/>
        <v>44</v>
      </c>
      <c r="E49" s="118">
        <f t="shared" si="17"/>
        <v>1376</v>
      </c>
      <c r="F49" s="126">
        <f t="shared" si="18"/>
        <v>0.61298894499816148</v>
      </c>
      <c r="G49" s="127">
        <f t="shared" si="22"/>
        <v>31</v>
      </c>
      <c r="H49" s="128">
        <f>ROUND(IF(D49&lt;=SIMULADOR!$C$11,IF(SIMULADOR!$C$11=D49,I49*(1+$E$3)^G49+I49*($F$3*G49),Calculos!$I$6/Calculos!$F$4),0),2)</f>
        <v>1038.9100000000001</v>
      </c>
      <c r="I49" s="128">
        <f>IF(D49&lt;=SIMULADOR!$C$11,I48-H48+M48+L48,0)</f>
        <v>16021.88999999993</v>
      </c>
      <c r="J49" s="128">
        <f>IF(D49&lt;SIMULADOR!$C$11,IF(H49-M49&lt;0,0,H49-M49-L49),I49)</f>
        <v>861.42000000000007</v>
      </c>
      <c r="K49" s="128">
        <f t="shared" si="19"/>
        <v>163.32999999999993</v>
      </c>
      <c r="L49" s="129">
        <f t="shared" si="20"/>
        <v>14.16</v>
      </c>
      <c r="M49" s="128">
        <f t="shared" si="21"/>
        <v>163.33000000000001</v>
      </c>
      <c r="O49" s="129">
        <f>+SIMULADOR!O66</f>
        <v>1041.9099999999999</v>
      </c>
      <c r="Q49" s="124">
        <f t="shared" si="9"/>
        <v>1041.9100000000001</v>
      </c>
    </row>
    <row r="50" spans="1:17" x14ac:dyDescent="0.25">
      <c r="A50" s="117">
        <f t="shared" si="15"/>
        <v>44752</v>
      </c>
      <c r="B50" s="117">
        <f t="shared" si="16"/>
        <v>44783</v>
      </c>
      <c r="D50" s="109">
        <f t="shared" si="5"/>
        <v>45</v>
      </c>
      <c r="E50" s="118">
        <f t="shared" si="17"/>
        <v>1406</v>
      </c>
      <c r="F50" s="126">
        <f t="shared" si="18"/>
        <v>0.60648297720364674</v>
      </c>
      <c r="G50" s="127">
        <f t="shared" si="22"/>
        <v>30</v>
      </c>
      <c r="H50" s="128">
        <f>ROUND(IF(D50&lt;=SIMULADOR!$C$11,IF(SIMULADOR!$C$11=D50,I50*(1+$E$3)^G50+I50*($F$3*G50),Calculos!$I$6/Calculos!$F$4),0),2)</f>
        <v>1038.9100000000001</v>
      </c>
      <c r="I50" s="128">
        <f>IF(D50&lt;=SIMULADOR!$C$11,I49-H49+M49+L49,0)</f>
        <v>15160.46999999993</v>
      </c>
      <c r="J50" s="128">
        <f>IF(D50&lt;SIMULADOR!$C$11,IF(H50-M50&lt;0,0,H50-M50-L50),I50)</f>
        <v>876.41000000000008</v>
      </c>
      <c r="K50" s="128">
        <f t="shared" si="19"/>
        <v>149.53999999999996</v>
      </c>
      <c r="L50" s="129">
        <f t="shared" si="20"/>
        <v>12.96</v>
      </c>
      <c r="M50" s="128">
        <f t="shared" si="21"/>
        <v>149.54</v>
      </c>
      <c r="O50" s="129">
        <f>+SIMULADOR!O67</f>
        <v>1041.9100000000001</v>
      </c>
      <c r="Q50" s="124">
        <f t="shared" si="9"/>
        <v>1041.9100000000001</v>
      </c>
    </row>
    <row r="51" spans="1:17" x14ac:dyDescent="0.25">
      <c r="A51" s="117">
        <f t="shared" si="15"/>
        <v>44783</v>
      </c>
      <c r="B51" s="117">
        <f t="shared" si="16"/>
        <v>44814</v>
      </c>
      <c r="D51" s="109">
        <f t="shared" si="5"/>
        <v>46</v>
      </c>
      <c r="E51" s="118">
        <f t="shared" si="17"/>
        <v>1437</v>
      </c>
      <c r="F51" s="126">
        <f t="shared" si="18"/>
        <v>0.59983267735190637</v>
      </c>
      <c r="G51" s="127">
        <f t="shared" si="22"/>
        <v>31</v>
      </c>
      <c r="H51" s="128">
        <f>ROUND(IF(D51&lt;=SIMULADOR!$C$11,IF(SIMULADOR!$C$11=D51,I51*(1+$E$3)^G51+I51*($F$3*G51),Calculos!$I$6/Calculos!$F$4),0),2)</f>
        <v>1038.9100000000001</v>
      </c>
      <c r="I51" s="128">
        <f>IF(D51&lt;=SIMULADOR!$C$11,I50-H50+M50+L50,0)</f>
        <v>14284.05999999993</v>
      </c>
      <c r="J51" s="128">
        <f>IF(D51&lt;SIMULADOR!$C$11,IF(H51-M51&lt;0,0,H51-M51-L51),I51)</f>
        <v>880.68000000000006</v>
      </c>
      <c r="K51" s="128">
        <f t="shared" si="19"/>
        <v>145.61000000000013</v>
      </c>
      <c r="L51" s="129">
        <f t="shared" si="20"/>
        <v>12.62</v>
      </c>
      <c r="M51" s="128">
        <f t="shared" si="21"/>
        <v>145.61000000000001</v>
      </c>
      <c r="O51" s="129">
        <f>+SIMULADOR!O68</f>
        <v>1041.9100000000003</v>
      </c>
      <c r="Q51" s="124">
        <f t="shared" si="9"/>
        <v>1041.9100000000001</v>
      </c>
    </row>
    <row r="52" spans="1:17" x14ac:dyDescent="0.25">
      <c r="A52" s="117">
        <f t="shared" si="15"/>
        <v>44814</v>
      </c>
      <c r="B52" s="117">
        <f t="shared" si="16"/>
        <v>44844</v>
      </c>
      <c r="D52" s="109">
        <f t="shared" si="5"/>
        <v>47</v>
      </c>
      <c r="E52" s="118">
        <f t="shared" si="17"/>
        <v>1468</v>
      </c>
      <c r="F52" s="126">
        <f t="shared" si="18"/>
        <v>0.59325530038469942</v>
      </c>
      <c r="G52" s="127">
        <f t="shared" si="22"/>
        <v>31</v>
      </c>
      <c r="H52" s="128">
        <f>ROUND(IF(D52&lt;=SIMULADOR!$C$11,IF(SIMULADOR!$C$11=D52,I52*(1+$E$3)^G52+I52*($F$3*G52),Calculos!$I$6/Calculos!$F$4),0),2)</f>
        <v>1038.9100000000001</v>
      </c>
      <c r="I52" s="128">
        <f>IF(D52&lt;=SIMULADOR!$C$11,I51-H51+M51+L51,0)</f>
        <v>13403.379999999932</v>
      </c>
      <c r="J52" s="128">
        <f>IF(D52&lt;SIMULADOR!$C$11,IF(H52-M52&lt;0,0,H52-M52-L52),I52)</f>
        <v>890.44</v>
      </c>
      <c r="K52" s="128">
        <f t="shared" si="19"/>
        <v>136.63000000000011</v>
      </c>
      <c r="L52" s="129">
        <f t="shared" si="20"/>
        <v>11.84</v>
      </c>
      <c r="M52" s="128">
        <f t="shared" si="21"/>
        <v>136.63</v>
      </c>
      <c r="O52" s="129">
        <f>+SIMULADOR!O69</f>
        <v>1041.9100000000003</v>
      </c>
      <c r="Q52" s="124">
        <f t="shared" si="9"/>
        <v>1041.9100000000001</v>
      </c>
    </row>
    <row r="53" spans="1:17" x14ac:dyDescent="0.25">
      <c r="A53" s="117">
        <f t="shared" si="15"/>
        <v>44844</v>
      </c>
      <c r="B53" s="117">
        <f t="shared" si="16"/>
        <v>44875</v>
      </c>
      <c r="D53" s="109">
        <f t="shared" si="5"/>
        <v>48</v>
      </c>
      <c r="E53" s="118">
        <f t="shared" si="17"/>
        <v>1498</v>
      </c>
      <c r="F53" s="126">
        <f t="shared" si="18"/>
        <v>0.58695877593719992</v>
      </c>
      <c r="G53" s="127">
        <f t="shared" si="22"/>
        <v>30</v>
      </c>
      <c r="H53" s="128">
        <f>ROUND(IF(D53&lt;=SIMULADOR!$C$11,IF(SIMULADOR!$C$11=D53,I53*(1+$E$3)^G53+I53*($F$3*G53),Calculos!$I$6/Calculos!$F$4),0),2)</f>
        <v>1038.9100000000001</v>
      </c>
      <c r="I53" s="128">
        <f>IF(D53&lt;=SIMULADOR!$C$11,I52-H52+M52+L52,0)</f>
        <v>12512.939999999931</v>
      </c>
      <c r="J53" s="128">
        <f>IF(D53&lt;SIMULADOR!$C$11,IF(H53-M53&lt;0,0,H53-M53-L53),I53)</f>
        <v>904.79000000000008</v>
      </c>
      <c r="K53" s="128">
        <f t="shared" si="19"/>
        <v>123.41999999999996</v>
      </c>
      <c r="L53" s="129">
        <f t="shared" si="20"/>
        <v>10.7</v>
      </c>
      <c r="M53" s="128">
        <f t="shared" si="21"/>
        <v>123.42</v>
      </c>
      <c r="O53" s="129">
        <f>+SIMULADOR!O70</f>
        <v>1041.9100000000001</v>
      </c>
      <c r="Q53" s="124">
        <f t="shared" si="9"/>
        <v>1041.9100000000001</v>
      </c>
    </row>
    <row r="54" spans="1:17" x14ac:dyDescent="0.25">
      <c r="A54" s="117">
        <f t="shared" si="15"/>
        <v>44875</v>
      </c>
      <c r="B54" s="117">
        <f t="shared" si="16"/>
        <v>44905</v>
      </c>
      <c r="D54" s="109">
        <f t="shared" si="5"/>
        <v>49</v>
      </c>
      <c r="E54" s="118">
        <f t="shared" si="17"/>
        <v>1529</v>
      </c>
      <c r="F54" s="126">
        <f t="shared" si="18"/>
        <v>0.58052256584175599</v>
      </c>
      <c r="G54" s="127">
        <f t="shared" si="22"/>
        <v>31</v>
      </c>
      <c r="H54" s="128">
        <f>ROUND(IF(D54&lt;=SIMULADOR!$C$11,IF(SIMULADOR!$C$11=D54,I54*(1+$E$3)^G54+I54*($F$3*G54),Calculos!$I$6/Calculos!$F$4),0),2)</f>
        <v>1038.9100000000001</v>
      </c>
      <c r="I54" s="128">
        <f>IF(D54&lt;=SIMULADOR!$C$11,I53-H53+M53+L53,0)</f>
        <v>11608.149999999932</v>
      </c>
      <c r="J54" s="128">
        <f>IF(D54&lt;SIMULADOR!$C$11,IF(H54-M54&lt;0,0,H54-M54-L54),I54)</f>
        <v>910.32</v>
      </c>
      <c r="K54" s="128">
        <f t="shared" si="19"/>
        <v>118.33000000000004</v>
      </c>
      <c r="L54" s="129">
        <f t="shared" si="20"/>
        <v>10.26</v>
      </c>
      <c r="M54" s="128">
        <f t="shared" si="21"/>
        <v>118.33</v>
      </c>
      <c r="O54" s="129">
        <f>+SIMULADOR!O71</f>
        <v>1041.9100000000001</v>
      </c>
      <c r="Q54" s="124">
        <f t="shared" si="9"/>
        <v>1041.9100000000001</v>
      </c>
    </row>
    <row r="55" spans="1:17" x14ac:dyDescent="0.25">
      <c r="A55" s="117">
        <f t="shared" si="15"/>
        <v>44905</v>
      </c>
      <c r="B55" s="117">
        <f t="shared" si="16"/>
        <v>44936</v>
      </c>
      <c r="D55" s="109">
        <f t="shared" si="5"/>
        <v>50</v>
      </c>
      <c r="E55" s="118">
        <f t="shared" si="17"/>
        <v>1559</v>
      </c>
      <c r="F55" s="126">
        <f t="shared" si="18"/>
        <v>0.57436118047229079</v>
      </c>
      <c r="G55" s="127">
        <f t="shared" si="22"/>
        <v>30</v>
      </c>
      <c r="H55" s="128">
        <f>ROUND(IF(D55&lt;=SIMULADOR!$C$11,IF(SIMULADOR!$C$11=D55,I55*(1+$E$3)^G55+I55*($F$3*G55),Calculos!$I$6/Calculos!$F$4),0),2)</f>
        <v>1038.9100000000001</v>
      </c>
      <c r="I55" s="128">
        <f>IF(D55&lt;=SIMULADOR!$C$11,I54-H54+M54+L54,0)</f>
        <v>10697.829999999933</v>
      </c>
      <c r="J55" s="128">
        <f>IF(D55&lt;SIMULADOR!$C$11,IF(H55-M55&lt;0,0,H55-M55-L55),I55)</f>
        <v>924.24000000000012</v>
      </c>
      <c r="K55" s="128">
        <f t="shared" si="19"/>
        <v>105.51999999999987</v>
      </c>
      <c r="L55" s="129">
        <f t="shared" si="20"/>
        <v>9.15</v>
      </c>
      <c r="M55" s="128">
        <f t="shared" si="21"/>
        <v>105.52</v>
      </c>
      <c r="O55" s="129">
        <f>+SIMULADOR!O72</f>
        <v>1041.9099999999999</v>
      </c>
      <c r="Q55" s="124">
        <f t="shared" si="9"/>
        <v>1041.9100000000001</v>
      </c>
    </row>
    <row r="56" spans="1:17" x14ac:dyDescent="0.25">
      <c r="A56" s="117">
        <f t="shared" si="15"/>
        <v>44936</v>
      </c>
      <c r="B56" s="117">
        <f t="shared" si="16"/>
        <v>44967</v>
      </c>
      <c r="D56" s="109">
        <f t="shared" si="5"/>
        <v>51</v>
      </c>
      <c r="E56" s="118">
        <f t="shared" si="17"/>
        <v>1590</v>
      </c>
      <c r="F56" s="126">
        <f t="shared" si="18"/>
        <v>0.56806310745637201</v>
      </c>
      <c r="G56" s="127">
        <f t="shared" si="22"/>
        <v>31</v>
      </c>
      <c r="H56" s="128">
        <f>ROUND(IF(D56&lt;=SIMULADOR!$C$11,IF(SIMULADOR!$C$11=D56,I56*(1+$E$3)^G56+I56*($F$3*G56),Calculos!$I$6/Calculos!$F$4),0),2)</f>
        <v>1038.9100000000001</v>
      </c>
      <c r="I56" s="128">
        <f>IF(D56&lt;=SIMULADOR!$C$11,I55-H55+M55+L55,0)</f>
        <v>9773.5899999999328</v>
      </c>
      <c r="J56" s="128">
        <f>IF(D56&lt;SIMULADOR!$C$11,IF(H56-M56&lt;0,0,H56-M56-L56),I56)</f>
        <v>930.65000000000009</v>
      </c>
      <c r="K56" s="128">
        <f t="shared" si="19"/>
        <v>99.629999999999882</v>
      </c>
      <c r="L56" s="129">
        <f t="shared" si="20"/>
        <v>8.6300000000000008</v>
      </c>
      <c r="M56" s="128">
        <f t="shared" si="21"/>
        <v>99.63</v>
      </c>
      <c r="O56" s="129">
        <f>+SIMULADOR!O73</f>
        <v>1041.9099999999999</v>
      </c>
      <c r="Q56" s="124">
        <f t="shared" si="9"/>
        <v>1041.9100000000001</v>
      </c>
    </row>
    <row r="57" spans="1:17" x14ac:dyDescent="0.25">
      <c r="A57" s="117">
        <f t="shared" si="15"/>
        <v>44967</v>
      </c>
      <c r="B57" s="117">
        <f t="shared" si="16"/>
        <v>44995</v>
      </c>
      <c r="D57" s="109">
        <f t="shared" si="5"/>
        <v>52</v>
      </c>
      <c r="E57" s="118">
        <f t="shared" si="17"/>
        <v>1621</v>
      </c>
      <c r="F57" s="126">
        <f t="shared" si="18"/>
        <v>0.56183409503344328</v>
      </c>
      <c r="G57" s="127">
        <f t="shared" si="22"/>
        <v>31</v>
      </c>
      <c r="H57" s="128">
        <f>ROUND(IF(D57&lt;=SIMULADOR!$C$11,IF(SIMULADOR!$C$11=D57,I57*(1+$E$3)^G57+I57*($F$3*G57),Calculos!$I$6/Calculos!$F$4),0),2)</f>
        <v>1038.9100000000001</v>
      </c>
      <c r="I57" s="128">
        <f>IF(D57&lt;=SIMULADOR!$C$11,I56-H56+M56+L56,0)</f>
        <v>8842.9399999999314</v>
      </c>
      <c r="J57" s="128">
        <f>IF(D57&lt;SIMULADOR!$C$11,IF(H57-M57&lt;0,0,H57-M57-L57),I57)</f>
        <v>940.95000000000016</v>
      </c>
      <c r="K57" s="128">
        <f t="shared" si="19"/>
        <v>90.149999999999977</v>
      </c>
      <c r="L57" s="129">
        <f t="shared" si="20"/>
        <v>7.81</v>
      </c>
      <c r="M57" s="128">
        <f t="shared" si="21"/>
        <v>90.15</v>
      </c>
      <c r="O57" s="129">
        <f>+SIMULADOR!O74</f>
        <v>1041.9100000000001</v>
      </c>
      <c r="Q57" s="124">
        <f t="shared" si="9"/>
        <v>1041.9100000000001</v>
      </c>
    </row>
    <row r="58" spans="1:17" x14ac:dyDescent="0.25">
      <c r="A58" s="117">
        <f t="shared" si="15"/>
        <v>44995</v>
      </c>
      <c r="B58" s="117">
        <f t="shared" si="16"/>
        <v>45026</v>
      </c>
      <c r="D58" s="109">
        <f t="shared" si="5"/>
        <v>53</v>
      </c>
      <c r="E58" s="118">
        <f t="shared" si="17"/>
        <v>1649</v>
      </c>
      <c r="F58" s="126">
        <f t="shared" si="18"/>
        <v>0.55626661925329601</v>
      </c>
      <c r="G58" s="127">
        <f t="shared" si="22"/>
        <v>28</v>
      </c>
      <c r="H58" s="128">
        <f>ROUND(IF(D58&lt;=SIMULADOR!$C$11,IF(SIMULADOR!$C$11=D58,I58*(1+$E$3)^G58+I58*($F$3*G58),Calculos!$I$6/Calculos!$F$4),0),2)</f>
        <v>1038.9100000000001</v>
      </c>
      <c r="I58" s="128">
        <f>IF(D58&lt;=SIMULADOR!$C$11,I57-H57+M57+L57,0)</f>
        <v>7901.9899999999316</v>
      </c>
      <c r="J58" s="128">
        <f>IF(D58&lt;SIMULADOR!$C$11,IF(H58-M58&lt;0,0,H58-M58-L58),I58)</f>
        <v>959.88000000000011</v>
      </c>
      <c r="K58" s="128">
        <f t="shared" si="19"/>
        <v>72.720000000000027</v>
      </c>
      <c r="L58" s="129">
        <f t="shared" si="20"/>
        <v>6.31</v>
      </c>
      <c r="M58" s="128">
        <f t="shared" si="21"/>
        <v>72.72</v>
      </c>
      <c r="O58" s="129">
        <f>+SIMULADOR!O75</f>
        <v>1041.9100000000001</v>
      </c>
      <c r="Q58" s="124">
        <f t="shared" si="9"/>
        <v>1041.9100000000001</v>
      </c>
    </row>
    <row r="59" spans="1:17" x14ac:dyDescent="0.25">
      <c r="A59" s="117">
        <f t="shared" si="15"/>
        <v>45026</v>
      </c>
      <c r="B59" s="117">
        <f t="shared" si="16"/>
        <v>45056</v>
      </c>
      <c r="D59" s="109">
        <f t="shared" si="5"/>
        <v>54</v>
      </c>
      <c r="E59" s="118">
        <f t="shared" si="17"/>
        <v>1680</v>
      </c>
      <c r="F59" s="126">
        <f t="shared" si="18"/>
        <v>0.55016695948608318</v>
      </c>
      <c r="G59" s="127">
        <f t="shared" si="22"/>
        <v>31</v>
      </c>
      <c r="H59" s="128">
        <f>ROUND(IF(D59&lt;=SIMULADOR!$C$11,IF(SIMULADOR!$C$11=D59,I59*(1+$E$3)^G59+I59*($F$3*G59),Calculos!$I$6/Calculos!$F$4),0),2)</f>
        <v>1038.9100000000001</v>
      </c>
      <c r="I59" s="128">
        <f>IF(D59&lt;=SIMULADOR!$C$11,I58-H58+M58+L58,0)</f>
        <v>6942.1099999999324</v>
      </c>
      <c r="J59" s="128">
        <f>IF(D59&lt;SIMULADOR!$C$11,IF(H59-M59&lt;0,0,H59-M59-L59),I59)</f>
        <v>962.0100000000001</v>
      </c>
      <c r="K59" s="128">
        <f t="shared" si="19"/>
        <v>70.769999999999868</v>
      </c>
      <c r="L59" s="129">
        <f t="shared" si="20"/>
        <v>6.13</v>
      </c>
      <c r="M59" s="128">
        <f t="shared" si="21"/>
        <v>70.77</v>
      </c>
      <c r="O59" s="129">
        <f>+SIMULADOR!O76</f>
        <v>1041.9099999999999</v>
      </c>
      <c r="Q59" s="124">
        <f t="shared" si="9"/>
        <v>1041.9100000000001</v>
      </c>
    </row>
    <row r="60" spans="1:17" x14ac:dyDescent="0.25">
      <c r="A60" s="117">
        <f t="shared" si="15"/>
        <v>45056</v>
      </c>
      <c r="B60" s="117">
        <f t="shared" si="16"/>
        <v>45087</v>
      </c>
      <c r="D60" s="109">
        <f t="shared" si="5"/>
        <v>55</v>
      </c>
      <c r="E60" s="118">
        <f t="shared" si="17"/>
        <v>1710</v>
      </c>
      <c r="F60" s="126">
        <f t="shared" si="18"/>
        <v>0.54432775382139831</v>
      </c>
      <c r="G60" s="127">
        <f t="shared" si="22"/>
        <v>30</v>
      </c>
      <c r="H60" s="128">
        <f>ROUND(IF(D60&lt;=SIMULADOR!$C$11,IF(SIMULADOR!$C$11=D60,I60*(1+$E$3)^G60+I60*($F$3*G60),Calculos!$I$6/Calculos!$F$4),0),2)</f>
        <v>1038.9100000000001</v>
      </c>
      <c r="I60" s="128">
        <f>IF(D60&lt;=SIMULADOR!$C$11,I59-H59+M59+L59,0)</f>
        <v>5980.0999999999331</v>
      </c>
      <c r="J60" s="128">
        <f>IF(D60&lt;SIMULADOR!$C$11,IF(H60-M60&lt;0,0,H60-M60-L60),I60)</f>
        <v>974.81000000000006</v>
      </c>
      <c r="K60" s="128">
        <f t="shared" si="19"/>
        <v>58.990000000000123</v>
      </c>
      <c r="L60" s="129">
        <f t="shared" si="20"/>
        <v>5.1100000000000003</v>
      </c>
      <c r="M60" s="128">
        <f t="shared" si="21"/>
        <v>58.99</v>
      </c>
      <c r="O60" s="129">
        <f>+SIMULADOR!O77</f>
        <v>1041.9100000000003</v>
      </c>
      <c r="Q60" s="124">
        <f t="shared" si="9"/>
        <v>1041.9100000000001</v>
      </c>
    </row>
    <row r="61" spans="1:17" x14ac:dyDescent="0.25">
      <c r="A61" s="117">
        <f t="shared" si="15"/>
        <v>45087</v>
      </c>
      <c r="B61" s="117">
        <f t="shared" si="16"/>
        <v>45117</v>
      </c>
      <c r="D61" s="109">
        <f t="shared" si="5"/>
        <v>56</v>
      </c>
      <c r="E61" s="118">
        <f t="shared" si="17"/>
        <v>1741</v>
      </c>
      <c r="F61" s="126">
        <f t="shared" si="18"/>
        <v>0.53835900792645608</v>
      </c>
      <c r="G61" s="127">
        <f t="shared" si="22"/>
        <v>31</v>
      </c>
      <c r="H61" s="128">
        <f>ROUND(IF(D61&lt;=SIMULADOR!$C$11,IF(SIMULADOR!$C$11=D61,I61*(1+$E$3)^G61+I61*($F$3*G61),Calculos!$I$6/Calculos!$F$4),0),2)</f>
        <v>1038.9100000000001</v>
      </c>
      <c r="I61" s="128">
        <f>IF(D61&lt;=SIMULADOR!$C$11,I60-H60+M60+L60,0)</f>
        <v>5005.2899999999327</v>
      </c>
      <c r="J61" s="128">
        <f>IF(D61&lt;SIMULADOR!$C$11,IF(H61-M61&lt;0,0,H61-M61-L61),I61)</f>
        <v>983.47000000000014</v>
      </c>
      <c r="K61" s="128">
        <f t="shared" si="19"/>
        <v>51.019999999999868</v>
      </c>
      <c r="L61" s="129">
        <f t="shared" si="20"/>
        <v>4.42</v>
      </c>
      <c r="M61" s="128">
        <f t="shared" si="21"/>
        <v>51.02</v>
      </c>
      <c r="O61" s="129">
        <f>+SIMULADOR!O78</f>
        <v>1041.9099999999999</v>
      </c>
      <c r="Q61" s="124">
        <f t="shared" si="9"/>
        <v>1041.9100000000001</v>
      </c>
    </row>
    <row r="62" spans="1:17" x14ac:dyDescent="0.25">
      <c r="A62" s="117">
        <f t="shared" si="15"/>
        <v>45117</v>
      </c>
      <c r="B62" s="117">
        <f t="shared" si="16"/>
        <v>45148</v>
      </c>
      <c r="D62" s="109">
        <f t="shared" si="5"/>
        <v>57</v>
      </c>
      <c r="E62" s="118">
        <f t="shared" si="17"/>
        <v>1771</v>
      </c>
      <c r="F62" s="126">
        <f t="shared" si="18"/>
        <v>0.53264512614108928</v>
      </c>
      <c r="G62" s="127">
        <f t="shared" si="22"/>
        <v>30</v>
      </c>
      <c r="H62" s="128">
        <f>ROUND(IF(D62&lt;=SIMULADOR!$C$11,IF(SIMULADOR!$C$11=D62,I62*(1+$E$3)^G62+I62*($F$3*G62),Calculos!$I$6/Calculos!$F$4),0),2)</f>
        <v>1038.9100000000001</v>
      </c>
      <c r="I62" s="128">
        <f>IF(D62&lt;=SIMULADOR!$C$11,I61-H61+M61+L61,0)</f>
        <v>4021.8199999999329</v>
      </c>
      <c r="J62" s="128">
        <f>IF(D62&lt;SIMULADOR!$C$11,IF(H62-M62&lt;0,0,H62-M62-L62),I62)</f>
        <v>995.80000000000007</v>
      </c>
      <c r="K62" s="128">
        <f t="shared" si="19"/>
        <v>39.669999999999959</v>
      </c>
      <c r="L62" s="129">
        <f t="shared" si="20"/>
        <v>3.44</v>
      </c>
      <c r="M62" s="128">
        <f t="shared" si="21"/>
        <v>39.67</v>
      </c>
      <c r="O62" s="129">
        <f>+SIMULADOR!O79</f>
        <v>1041.9100000000001</v>
      </c>
      <c r="Q62" s="124">
        <f t="shared" si="9"/>
        <v>1041.9100000000001</v>
      </c>
    </row>
    <row r="63" spans="1:17" x14ac:dyDescent="0.25">
      <c r="A63" s="117">
        <f t="shared" si="15"/>
        <v>45148</v>
      </c>
      <c r="B63" s="117">
        <f t="shared" si="16"/>
        <v>45179</v>
      </c>
      <c r="D63" s="109">
        <f t="shared" si="5"/>
        <v>58</v>
      </c>
      <c r="E63" s="118">
        <f t="shared" si="17"/>
        <v>1802</v>
      </c>
      <c r="F63" s="126">
        <f t="shared" si="18"/>
        <v>0.52680448438105321</v>
      </c>
      <c r="G63" s="127">
        <f t="shared" si="22"/>
        <v>31</v>
      </c>
      <c r="H63" s="128">
        <f>ROUND(IF(D63&lt;=SIMULADOR!$C$11,IF(SIMULADOR!$C$11=D63,I63*(1+$E$3)^G63+I63*($F$3*G63),Calculos!$I$6/Calculos!$F$4),0),2)</f>
        <v>1038.9100000000001</v>
      </c>
      <c r="I63" s="128">
        <f>IF(D63&lt;=SIMULADOR!$C$11,I62-H62+M62+L62,0)</f>
        <v>3026.0199999999327</v>
      </c>
      <c r="J63" s="128">
        <f>IF(D63&lt;SIMULADOR!$C$11,IF(H63-M63&lt;0,0,H63-M63-L63),I63)</f>
        <v>1005.3900000000001</v>
      </c>
      <c r="K63" s="128">
        <f t="shared" si="19"/>
        <v>30.849999999999909</v>
      </c>
      <c r="L63" s="129">
        <f t="shared" si="20"/>
        <v>2.67</v>
      </c>
      <c r="M63" s="128">
        <f t="shared" si="21"/>
        <v>30.85</v>
      </c>
      <c r="O63" s="129">
        <f>+SIMULADOR!O80</f>
        <v>1041.9099999999999</v>
      </c>
      <c r="Q63" s="124">
        <f t="shared" si="9"/>
        <v>1041.9100000000001</v>
      </c>
    </row>
    <row r="64" spans="1:17" x14ac:dyDescent="0.25">
      <c r="A64" s="117">
        <f t="shared" si="15"/>
        <v>45179</v>
      </c>
      <c r="B64" s="117">
        <f t="shared" si="16"/>
        <v>45209</v>
      </c>
      <c r="D64" s="109">
        <f t="shared" si="5"/>
        <v>59</v>
      </c>
      <c r="E64" s="118">
        <f t="shared" si="17"/>
        <v>1833</v>
      </c>
      <c r="F64" s="126">
        <f t="shared" si="18"/>
        <v>0.5210278873188755</v>
      </c>
      <c r="G64" s="127">
        <f t="shared" si="22"/>
        <v>31</v>
      </c>
      <c r="H64" s="128">
        <f>ROUND(IF(D64&lt;=SIMULADOR!$C$11,IF(SIMULADOR!$C$11=D64,I64*(1+$E$3)^G64+I64*($F$3*G64),Calculos!$I$6/Calculos!$F$4),0),2)</f>
        <v>1038.9100000000001</v>
      </c>
      <c r="I64" s="128">
        <f>IF(D64&lt;=SIMULADOR!$C$11,I63-H63+M63+L63,0)</f>
        <v>2020.6299999999326</v>
      </c>
      <c r="J64" s="128">
        <f>IF(D64&lt;SIMULADOR!$C$11,IF(H64-M64&lt;0,0,H64-M64-L64),I64)</f>
        <v>1016.5200000000001</v>
      </c>
      <c r="K64" s="128">
        <f t="shared" si="19"/>
        <v>20.600000000000023</v>
      </c>
      <c r="L64" s="129">
        <f t="shared" si="20"/>
        <v>1.79</v>
      </c>
      <c r="M64" s="128">
        <f t="shared" si="21"/>
        <v>20.6</v>
      </c>
      <c r="O64" s="129">
        <f>+SIMULADOR!O81</f>
        <v>1041.9100000000001</v>
      </c>
      <c r="Q64" s="124">
        <f t="shared" si="9"/>
        <v>1041.9100000000001</v>
      </c>
    </row>
    <row r="65" spans="1:17" x14ac:dyDescent="0.25">
      <c r="A65" s="117">
        <f t="shared" si="15"/>
        <v>45209</v>
      </c>
      <c r="B65" s="117">
        <f t="shared" si="16"/>
        <v>45240</v>
      </c>
      <c r="D65" s="109">
        <f t="shared" si="5"/>
        <v>60</v>
      </c>
      <c r="E65" s="118">
        <f t="shared" si="17"/>
        <v>1863</v>
      </c>
      <c r="F65" s="126">
        <f t="shared" si="18"/>
        <v>0.51549794965425599</v>
      </c>
      <c r="G65" s="127">
        <f t="shared" si="22"/>
        <v>30</v>
      </c>
      <c r="H65" s="128">
        <f>ROUND(IF(D65&lt;=SIMULADOR!$C$11,IF(SIMULADOR!$C$11=D65,I65*(1+$E$3)^G65+I65*($F$3*G65),Calculos!$I$6/Calculos!$F$4),0),2)</f>
        <v>1014.87</v>
      </c>
      <c r="I65" s="128">
        <f>IF(D65&lt;=SIMULADOR!$C$11,I64-H64+M64+L64,0)</f>
        <v>1004.1099999999325</v>
      </c>
      <c r="J65" s="128">
        <f>IF(D65&lt;SIMULADOR!$C$11,IF(H65-M65&lt;0,0,H65-M65-L65),I65)</f>
        <v>1004.1099999999325</v>
      </c>
      <c r="K65" s="128">
        <f t="shared" si="19"/>
        <v>9.9000000000675072</v>
      </c>
      <c r="L65" s="129">
        <f t="shared" si="20"/>
        <v>0.86</v>
      </c>
      <c r="M65" s="128">
        <f t="shared" si="21"/>
        <v>9.9</v>
      </c>
      <c r="O65" s="129">
        <f>+SIMULADOR!O82</f>
        <v>1017.87</v>
      </c>
      <c r="Q65" s="124">
        <f t="shared" si="9"/>
        <v>1017.8699999999325</v>
      </c>
    </row>
    <row r="66" spans="1:17" x14ac:dyDescent="0.25">
      <c r="A66" s="117">
        <f t="shared" si="15"/>
        <v>45240</v>
      </c>
      <c r="B66" s="117">
        <f t="shared" si="16"/>
        <v>45270</v>
      </c>
      <c r="D66" s="109">
        <f t="shared" si="5"/>
        <v>61</v>
      </c>
      <c r="E66" s="118">
        <f t="shared" si="17"/>
        <v>1894</v>
      </c>
      <c r="F66" s="126">
        <f t="shared" si="18"/>
        <v>0.50984533273503951</v>
      </c>
      <c r="G66" s="127">
        <f t="shared" si="22"/>
        <v>31</v>
      </c>
      <c r="H66" s="128">
        <f>ROUND(IF(D66&lt;=SIMULADOR!$C$11,IF(SIMULADOR!$C$11=D66,I66*(1+$E$3)^G66+I66*($F$3*G66),Calculos!$I$6/Calculos!$F$4),0),2)</f>
        <v>0</v>
      </c>
      <c r="I66" s="128">
        <f>IF(D66&lt;=SIMULADOR!$C$11,I65-H65+M65+L65,0)</f>
        <v>0</v>
      </c>
      <c r="J66" s="128">
        <f>IF(D66&lt;SIMULADOR!$C$11,IF(H66-M66&lt;0,0,H66-M66-L66),I66)</f>
        <v>0</v>
      </c>
      <c r="K66" s="128">
        <f t="shared" si="19"/>
        <v>0</v>
      </c>
      <c r="L66" s="129">
        <f t="shared" si="20"/>
        <v>0</v>
      </c>
      <c r="M66" s="128">
        <f t="shared" si="21"/>
        <v>0</v>
      </c>
      <c r="O66" s="129">
        <f>+SIMULADOR!O83</f>
        <v>0</v>
      </c>
      <c r="Q66" s="125"/>
    </row>
    <row r="67" spans="1:17" x14ac:dyDescent="0.25">
      <c r="A67" s="117">
        <f t="shared" si="15"/>
        <v>45270</v>
      </c>
      <c r="B67" s="117">
        <f t="shared" si="16"/>
        <v>45301</v>
      </c>
      <c r="D67" s="109">
        <f t="shared" si="5"/>
        <v>62</v>
      </c>
      <c r="E67" s="118">
        <f t="shared" si="17"/>
        <v>1924</v>
      </c>
      <c r="F67" s="126">
        <f t="shared" si="18"/>
        <v>0.5044340812891136</v>
      </c>
      <c r="G67" s="127">
        <f t="shared" si="22"/>
        <v>30</v>
      </c>
      <c r="H67" s="128">
        <f>ROUND(IF(D67&lt;=SIMULADOR!$C$11,IF(SIMULADOR!$C$11=D67,I67*(1+$E$3)^G67+I67*($F$3*G67),Calculos!$I$6/Calculos!$F$4),0),2)</f>
        <v>0</v>
      </c>
      <c r="I67" s="128">
        <f>IF(D67&lt;=SIMULADOR!$C$11,I66-H66+M66+L66,0)</f>
        <v>0</v>
      </c>
      <c r="J67" s="128">
        <f>IF(D67&lt;SIMULADOR!$C$11,IF(H67-M67&lt;0,0,H67-M67-L67),I67)</f>
        <v>0</v>
      </c>
      <c r="K67" s="128">
        <f t="shared" si="19"/>
        <v>0</v>
      </c>
      <c r="L67" s="129">
        <f t="shared" si="20"/>
        <v>0</v>
      </c>
      <c r="M67" s="128">
        <f t="shared" si="21"/>
        <v>0</v>
      </c>
      <c r="O67" s="129">
        <f>+SIMULADOR!O84</f>
        <v>0</v>
      </c>
      <c r="Q67" s="125"/>
    </row>
    <row r="68" spans="1:17" x14ac:dyDescent="0.25">
      <c r="A68" s="117">
        <f t="shared" si="15"/>
        <v>45301</v>
      </c>
      <c r="B68" s="117">
        <f t="shared" si="16"/>
        <v>45332</v>
      </c>
      <c r="D68" s="109">
        <f t="shared" si="5"/>
        <v>63</v>
      </c>
      <c r="E68" s="118">
        <f t="shared" si="17"/>
        <v>1955</v>
      </c>
      <c r="F68" s="126">
        <f t="shared" si="18"/>
        <v>0.49890278359057449</v>
      </c>
      <c r="G68" s="127">
        <f t="shared" si="22"/>
        <v>31</v>
      </c>
      <c r="H68" s="128">
        <f>ROUND(IF(D68&lt;=SIMULADOR!$C$11,IF(SIMULADOR!$C$11=D68,I68*(1+$E$3)^G68+I68*($F$3*G68),Calculos!$I$6/Calculos!$F$4),0),2)</f>
        <v>0</v>
      </c>
      <c r="I68" s="128">
        <f>IF(D68&lt;=SIMULADOR!$C$11,I67-H67+M67+L67,0)</f>
        <v>0</v>
      </c>
      <c r="J68" s="128">
        <f>IF(D68&lt;SIMULADOR!$C$11,IF(H68-M68&lt;0,0,H68-M68-L68),I68)</f>
        <v>0</v>
      </c>
      <c r="K68" s="128">
        <f t="shared" si="19"/>
        <v>0</v>
      </c>
      <c r="L68" s="129">
        <f t="shared" si="20"/>
        <v>0</v>
      </c>
      <c r="M68" s="128">
        <f t="shared" si="21"/>
        <v>0</v>
      </c>
      <c r="O68" s="129">
        <f>+SIMULADOR!O85</f>
        <v>0</v>
      </c>
      <c r="Q68" s="125"/>
    </row>
    <row r="69" spans="1:17" x14ac:dyDescent="0.25">
      <c r="A69" s="117">
        <f t="shared" si="15"/>
        <v>45332</v>
      </c>
      <c r="B69" s="117">
        <f t="shared" si="16"/>
        <v>45361</v>
      </c>
      <c r="D69" s="109">
        <f t="shared" si="5"/>
        <v>64</v>
      </c>
      <c r="E69" s="118">
        <f t="shared" si="17"/>
        <v>1986</v>
      </c>
      <c r="F69" s="126">
        <f t="shared" si="18"/>
        <v>0.49343213852310197</v>
      </c>
      <c r="G69" s="127">
        <f t="shared" si="22"/>
        <v>31</v>
      </c>
      <c r="H69" s="128">
        <f>ROUND(IF(D69&lt;=SIMULADOR!$C$11,IF(SIMULADOR!$C$11=D69,I69*(1+$E$3)^G69+I69*($F$3*G69),Calculos!$I$6/Calculos!$F$4),0),2)</f>
        <v>0</v>
      </c>
      <c r="I69" s="128">
        <f>IF(D69&lt;=SIMULADOR!$C$11,I68-H68+M68+L68,0)</f>
        <v>0</v>
      </c>
      <c r="J69" s="128">
        <f>IF(D69&lt;SIMULADOR!$C$11,IF(H69-M69&lt;0,0,H69-M69-L69),I69)</f>
        <v>0</v>
      </c>
      <c r="K69" s="128">
        <f t="shared" si="19"/>
        <v>0</v>
      </c>
      <c r="L69" s="129">
        <f t="shared" si="20"/>
        <v>0</v>
      </c>
      <c r="M69" s="128">
        <f t="shared" si="21"/>
        <v>0</v>
      </c>
      <c r="O69" s="129">
        <f>+SIMULADOR!O86</f>
        <v>0</v>
      </c>
      <c r="Q69" s="125"/>
    </row>
    <row r="70" spans="1:17" x14ac:dyDescent="0.25">
      <c r="A70" s="117">
        <f t="shared" ref="A70:A101" si="23">+B69</f>
        <v>45361</v>
      </c>
      <c r="B70" s="117">
        <f t="shared" ref="B70:B101" si="24">+EDATE(A70,1)</f>
        <v>45392</v>
      </c>
      <c r="D70" s="109">
        <f t="shared" si="5"/>
        <v>65</v>
      </c>
      <c r="E70" s="118">
        <f t="shared" ref="E70:E101" si="25">+B69-$A$5</f>
        <v>2015</v>
      </c>
      <c r="F70" s="126">
        <f t="shared" ref="F70:F101" si="26">1/((1+$E$3)^E70*(1+$F$3)^E70)</f>
        <v>0.48836875829309195</v>
      </c>
      <c r="G70" s="127">
        <f t="shared" si="22"/>
        <v>29</v>
      </c>
      <c r="H70" s="128">
        <f>ROUND(IF(D70&lt;=SIMULADOR!$C$11,IF(SIMULADOR!$C$11=D70,I70*(1+$E$3)^G70+I70*($F$3*G70),Calculos!$I$6/Calculos!$F$4),0),2)</f>
        <v>0</v>
      </c>
      <c r="I70" s="128">
        <f>IF(D70&lt;=SIMULADOR!$C$11,I69-H69+M69+L69,0)</f>
        <v>0</v>
      </c>
      <c r="J70" s="128">
        <f>IF(D70&lt;SIMULADOR!$C$11,IF(H70-M70&lt;0,0,H70-M70-L70),I70)</f>
        <v>0</v>
      </c>
      <c r="K70" s="128">
        <f t="shared" ref="K70:K101" si="27">+H70-L70-J70</f>
        <v>0</v>
      </c>
      <c r="L70" s="129">
        <f t="shared" ref="L70:L101" si="28">ROUND(I70*(($F$3*G70)),2)</f>
        <v>0</v>
      </c>
      <c r="M70" s="128">
        <f t="shared" ref="M70:M101" si="29">ROUND(I70*((1+$E$3)^G70-1),2)</f>
        <v>0</v>
      </c>
      <c r="O70" s="129">
        <f>+SIMULADOR!O87</f>
        <v>0</v>
      </c>
      <c r="Q70" s="125"/>
    </row>
    <row r="71" spans="1:17" x14ac:dyDescent="0.25">
      <c r="A71" s="117">
        <f t="shared" si="23"/>
        <v>45392</v>
      </c>
      <c r="B71" s="117">
        <f t="shared" si="24"/>
        <v>45422</v>
      </c>
      <c r="D71" s="109">
        <f t="shared" ref="D71:D107" si="30">+D70+1</f>
        <v>66</v>
      </c>
      <c r="E71" s="118">
        <f t="shared" si="25"/>
        <v>2046</v>
      </c>
      <c r="F71" s="126">
        <f t="shared" si="26"/>
        <v>0.48301362253009661</v>
      </c>
      <c r="G71" s="127">
        <f t="shared" ref="G71:G102" si="31">+E71-E70</f>
        <v>31</v>
      </c>
      <c r="H71" s="128">
        <f>ROUND(IF(D71&lt;=SIMULADOR!$C$11,IF(SIMULADOR!$C$11=D71,I71*(1+$E$3)^G71+I71*($F$3*G71),Calculos!$I$6/Calculos!$F$4),0),2)</f>
        <v>0</v>
      </c>
      <c r="I71" s="128">
        <f>IF(D71&lt;=SIMULADOR!$C$11,I70-H70+M70+L70,0)</f>
        <v>0</v>
      </c>
      <c r="J71" s="128">
        <f>IF(D71&lt;SIMULADOR!$C$11,IF(H71-M71&lt;0,0,H71-M71-L71),I71)</f>
        <v>0</v>
      </c>
      <c r="K71" s="128">
        <f t="shared" si="27"/>
        <v>0</v>
      </c>
      <c r="L71" s="129">
        <f t="shared" si="28"/>
        <v>0</v>
      </c>
      <c r="M71" s="128">
        <f t="shared" si="29"/>
        <v>0</v>
      </c>
      <c r="O71" s="129">
        <f>+SIMULADOR!O88</f>
        <v>0</v>
      </c>
      <c r="Q71" s="125"/>
    </row>
    <row r="72" spans="1:17" x14ac:dyDescent="0.25">
      <c r="A72" s="117">
        <f t="shared" si="23"/>
        <v>45422</v>
      </c>
      <c r="B72" s="117">
        <f t="shared" si="24"/>
        <v>45453</v>
      </c>
      <c r="D72" s="109">
        <f t="shared" si="30"/>
        <v>67</v>
      </c>
      <c r="E72" s="118">
        <f t="shared" si="25"/>
        <v>2076</v>
      </c>
      <c r="F72" s="126">
        <f t="shared" si="26"/>
        <v>0.47788714986181341</v>
      </c>
      <c r="G72" s="127">
        <f t="shared" si="31"/>
        <v>30</v>
      </c>
      <c r="H72" s="128">
        <f>ROUND(IF(D72&lt;=SIMULADOR!$C$11,IF(SIMULADOR!$C$11=D72,I72*(1+$E$3)^G72+I72*($F$3*G72),Calculos!$I$6/Calculos!$F$4),0),2)</f>
        <v>0</v>
      </c>
      <c r="I72" s="128">
        <f>IF(D72&lt;=SIMULADOR!$C$11,I71-H71+M71+L71,0)</f>
        <v>0</v>
      </c>
      <c r="J72" s="128">
        <f>IF(D72&lt;SIMULADOR!$C$11,IF(H72-M72&lt;0,0,H72-M72-L72),I72)</f>
        <v>0</v>
      </c>
      <c r="K72" s="128">
        <f t="shared" si="27"/>
        <v>0</v>
      </c>
      <c r="L72" s="129">
        <f t="shared" si="28"/>
        <v>0</v>
      </c>
      <c r="M72" s="128">
        <f t="shared" si="29"/>
        <v>0</v>
      </c>
      <c r="O72" s="129">
        <f>+SIMULADOR!O89</f>
        <v>0</v>
      </c>
      <c r="Q72" s="125"/>
    </row>
    <row r="73" spans="1:17" x14ac:dyDescent="0.25">
      <c r="A73" s="117">
        <f t="shared" si="23"/>
        <v>45453</v>
      </c>
      <c r="B73" s="117">
        <f t="shared" si="24"/>
        <v>45483</v>
      </c>
      <c r="D73" s="109">
        <f t="shared" si="30"/>
        <v>68</v>
      </c>
      <c r="E73" s="118">
        <f t="shared" si="25"/>
        <v>2107</v>
      </c>
      <c r="F73" s="126">
        <f t="shared" si="26"/>
        <v>0.47264694863386125</v>
      </c>
      <c r="G73" s="127">
        <f t="shared" si="31"/>
        <v>31</v>
      </c>
      <c r="H73" s="128">
        <f>ROUND(IF(D73&lt;=SIMULADOR!$C$11,IF(SIMULADOR!$C$11=D73,I73*(1+$E$3)^G73+I73*($F$3*G73),Calculos!$I$6/Calculos!$F$4),0),2)</f>
        <v>0</v>
      </c>
      <c r="I73" s="128">
        <f>IF(D73&lt;=SIMULADOR!$C$11,I72-H72+M72+L72,0)</f>
        <v>0</v>
      </c>
      <c r="J73" s="128">
        <f>IF(D73&lt;SIMULADOR!$C$11,IF(H73-M73&lt;0,0,H73-M73-L73),I73)</f>
        <v>0</v>
      </c>
      <c r="K73" s="128">
        <f t="shared" si="27"/>
        <v>0</v>
      </c>
      <c r="L73" s="129">
        <f t="shared" si="28"/>
        <v>0</v>
      </c>
      <c r="M73" s="128">
        <f t="shared" si="29"/>
        <v>0</v>
      </c>
      <c r="O73" s="129">
        <f>+SIMULADOR!O90</f>
        <v>0</v>
      </c>
      <c r="Q73" s="125"/>
    </row>
    <row r="74" spans="1:17" x14ac:dyDescent="0.25">
      <c r="A74" s="117">
        <f t="shared" si="23"/>
        <v>45483</v>
      </c>
      <c r="B74" s="117">
        <f t="shared" si="24"/>
        <v>45514</v>
      </c>
      <c r="D74" s="109">
        <f t="shared" si="30"/>
        <v>69</v>
      </c>
      <c r="E74" s="118">
        <f t="shared" si="25"/>
        <v>2137</v>
      </c>
      <c r="F74" s="126">
        <f t="shared" si="26"/>
        <v>0.46763050282178092</v>
      </c>
      <c r="G74" s="127">
        <f t="shared" si="31"/>
        <v>30</v>
      </c>
      <c r="H74" s="128">
        <f>ROUND(IF(D74&lt;=SIMULADOR!$C$11,IF(SIMULADOR!$C$11=D74,I74*(1+$E$3)^G74+I74*($F$3*G74),Calculos!$I$6/Calculos!$F$4),0),2)</f>
        <v>0</v>
      </c>
      <c r="I74" s="128">
        <f>IF(D74&lt;=SIMULADOR!$C$11,I73-H73+M73+L73,0)</f>
        <v>0</v>
      </c>
      <c r="J74" s="128">
        <f>IF(D74&lt;SIMULADOR!$C$11,IF(H74-M74&lt;0,0,H74-M74-L74),I74)</f>
        <v>0</v>
      </c>
      <c r="K74" s="128">
        <f t="shared" si="27"/>
        <v>0</v>
      </c>
      <c r="L74" s="129">
        <f t="shared" si="28"/>
        <v>0</v>
      </c>
      <c r="M74" s="128">
        <f t="shared" si="29"/>
        <v>0</v>
      </c>
      <c r="O74" s="129">
        <f>+SIMULADOR!O91</f>
        <v>0</v>
      </c>
      <c r="Q74" s="125"/>
    </row>
    <row r="75" spans="1:17" x14ac:dyDescent="0.25">
      <c r="A75" s="117">
        <f t="shared" si="23"/>
        <v>45514</v>
      </c>
      <c r="B75" s="117">
        <f t="shared" si="24"/>
        <v>45545</v>
      </c>
      <c r="D75" s="109">
        <f t="shared" si="30"/>
        <v>70</v>
      </c>
      <c r="E75" s="118">
        <f t="shared" si="25"/>
        <v>2168</v>
      </c>
      <c r="F75" s="126">
        <f t="shared" si="26"/>
        <v>0.46250276934783602</v>
      </c>
      <c r="G75" s="127">
        <f t="shared" si="31"/>
        <v>31</v>
      </c>
      <c r="H75" s="128">
        <f>ROUND(IF(D75&lt;=SIMULADOR!$C$11,IF(SIMULADOR!$C$11=D75,I75*(1+$E$3)^G75+I75*($F$3*G75),Calculos!$I$6/Calculos!$F$4),0),2)</f>
        <v>0</v>
      </c>
      <c r="I75" s="128">
        <f>IF(D75&lt;=SIMULADOR!$C$11,I74-H74+M74+L74,0)</f>
        <v>0</v>
      </c>
      <c r="J75" s="128">
        <f>IF(D75&lt;SIMULADOR!$C$11,IF(H75-M75&lt;0,0,H75-M75-L75),I75)</f>
        <v>0</v>
      </c>
      <c r="K75" s="128">
        <f t="shared" si="27"/>
        <v>0</v>
      </c>
      <c r="L75" s="129">
        <f t="shared" si="28"/>
        <v>0</v>
      </c>
      <c r="M75" s="128">
        <f t="shared" si="29"/>
        <v>0</v>
      </c>
      <c r="O75" s="129">
        <f>+SIMULADOR!O92</f>
        <v>0</v>
      </c>
      <c r="Q75" s="125"/>
    </row>
    <row r="76" spans="1:17" x14ac:dyDescent="0.25">
      <c r="A76" s="117">
        <f t="shared" si="23"/>
        <v>45545</v>
      </c>
      <c r="B76" s="117">
        <f t="shared" si="24"/>
        <v>45575</v>
      </c>
      <c r="D76" s="109">
        <f t="shared" si="30"/>
        <v>71</v>
      </c>
      <c r="E76" s="118">
        <f t="shared" si="25"/>
        <v>2199</v>
      </c>
      <c r="F76" s="126">
        <f t="shared" si="26"/>
        <v>0.457431263280831</v>
      </c>
      <c r="G76" s="127">
        <f t="shared" si="31"/>
        <v>31</v>
      </c>
      <c r="H76" s="128">
        <f>ROUND(IF(D76&lt;=SIMULADOR!$C$11,IF(SIMULADOR!$C$11=D76,I76*(1+$E$3)^G76+I76*($F$3*G76),Calculos!$I$6/Calculos!$F$4),0),2)</f>
        <v>0</v>
      </c>
      <c r="I76" s="128">
        <f>IF(D76&lt;=SIMULADOR!$C$11,I75-H75+M75+L75,0)</f>
        <v>0</v>
      </c>
      <c r="J76" s="128">
        <f>IF(D76&lt;SIMULADOR!$C$11,IF(H76-M76&lt;0,0,H76-M76-L76),I76)</f>
        <v>0</v>
      </c>
      <c r="K76" s="128">
        <f t="shared" si="27"/>
        <v>0</v>
      </c>
      <c r="L76" s="129">
        <f t="shared" si="28"/>
        <v>0</v>
      </c>
      <c r="M76" s="128">
        <f t="shared" si="29"/>
        <v>0</v>
      </c>
      <c r="O76" s="129">
        <f>+SIMULADOR!O93</f>
        <v>0</v>
      </c>
      <c r="Q76" s="125"/>
    </row>
    <row r="77" spans="1:17" x14ac:dyDescent="0.25">
      <c r="A77" s="117">
        <f t="shared" si="23"/>
        <v>45575</v>
      </c>
      <c r="B77" s="117">
        <f t="shared" si="24"/>
        <v>45606</v>
      </c>
      <c r="D77" s="109">
        <f t="shared" si="30"/>
        <v>72</v>
      </c>
      <c r="E77" s="118">
        <f t="shared" si="25"/>
        <v>2229</v>
      </c>
      <c r="F77" s="126">
        <f t="shared" si="26"/>
        <v>0.45257630938420235</v>
      </c>
      <c r="G77" s="127">
        <f t="shared" si="31"/>
        <v>30</v>
      </c>
      <c r="H77" s="128">
        <f>ROUND(IF(D77&lt;=SIMULADOR!$C$11,IF(SIMULADOR!$C$11=D77,I77*(1+$E$3)^G77+I77*($F$3*G77),Calculos!$I$6/Calculos!$F$4),0),2)</f>
        <v>0</v>
      </c>
      <c r="I77" s="128">
        <f>IF(D77&lt;=SIMULADOR!$C$11,I76-H76+M76+L76,0)</f>
        <v>0</v>
      </c>
      <c r="J77" s="128">
        <f>IF(D77&lt;SIMULADOR!$C$11,IF(H77-M77&lt;0,0,H77-M77-L77),I77)</f>
        <v>0</v>
      </c>
      <c r="K77" s="128">
        <f t="shared" si="27"/>
        <v>0</v>
      </c>
      <c r="L77" s="129">
        <f t="shared" si="28"/>
        <v>0</v>
      </c>
      <c r="M77" s="128">
        <f t="shared" si="29"/>
        <v>0</v>
      </c>
      <c r="O77" s="129">
        <f>+SIMULADOR!O94</f>
        <v>0</v>
      </c>
      <c r="Q77" s="125"/>
    </row>
    <row r="78" spans="1:17" x14ac:dyDescent="0.25">
      <c r="A78" s="117">
        <f t="shared" si="23"/>
        <v>45606</v>
      </c>
      <c r="B78" s="117">
        <f t="shared" si="24"/>
        <v>45636</v>
      </c>
      <c r="D78" s="109">
        <f t="shared" si="30"/>
        <v>73</v>
      </c>
      <c r="E78" s="118">
        <f t="shared" si="25"/>
        <v>2260</v>
      </c>
      <c r="F78" s="126">
        <f t="shared" si="26"/>
        <v>0.4476136504534004</v>
      </c>
      <c r="G78" s="127">
        <f t="shared" si="31"/>
        <v>31</v>
      </c>
      <c r="H78" s="128">
        <f>ROUND(IF(D78&lt;=SIMULADOR!$C$11,IF(SIMULADOR!$C$11=D78,I78*(1+$E$3)^G78+I78*($F$3*G78),Calculos!$I$6/Calculos!$F$4),0),2)</f>
        <v>0</v>
      </c>
      <c r="I78" s="128">
        <f>IF(D78&lt;=SIMULADOR!$C$11,I77-H77+M77+L77,0)</f>
        <v>0</v>
      </c>
      <c r="J78" s="128">
        <f>IF(D78&lt;SIMULADOR!$C$11,IF(H78-M78&lt;0,0,H78-M78-L78),I78)</f>
        <v>0</v>
      </c>
      <c r="K78" s="128">
        <f t="shared" si="27"/>
        <v>0</v>
      </c>
      <c r="L78" s="129">
        <f t="shared" si="28"/>
        <v>0</v>
      </c>
      <c r="M78" s="128">
        <f t="shared" si="29"/>
        <v>0</v>
      </c>
      <c r="O78" s="129">
        <f>+SIMULADOR!O95</f>
        <v>0</v>
      </c>
      <c r="Q78" s="125"/>
    </row>
    <row r="79" spans="1:17" x14ac:dyDescent="0.25">
      <c r="A79" s="117">
        <f t="shared" si="23"/>
        <v>45636</v>
      </c>
      <c r="B79" s="117">
        <f t="shared" si="24"/>
        <v>45667</v>
      </c>
      <c r="D79" s="109">
        <f t="shared" si="30"/>
        <v>74</v>
      </c>
      <c r="E79" s="118">
        <f t="shared" si="25"/>
        <v>2290</v>
      </c>
      <c r="F79" s="126">
        <f t="shared" si="26"/>
        <v>0.44286289594469769</v>
      </c>
      <c r="G79" s="127">
        <f t="shared" si="31"/>
        <v>30</v>
      </c>
      <c r="H79" s="128">
        <f>ROUND(IF(D79&lt;=SIMULADOR!$C$11,IF(SIMULADOR!$C$11=D79,I79*(1+$E$3)^G79+I79*($F$3*G79),Calculos!$I$6/Calculos!$F$4),0),2)</f>
        <v>0</v>
      </c>
      <c r="I79" s="128">
        <f>IF(D79&lt;=SIMULADOR!$C$11,I78-H78+M78+L78,0)</f>
        <v>0</v>
      </c>
      <c r="J79" s="128">
        <f>IF(D79&lt;SIMULADOR!$C$11,IF(H79-M79&lt;0,0,H79-M79-L79),I79)</f>
        <v>0</v>
      </c>
      <c r="K79" s="128">
        <f t="shared" si="27"/>
        <v>0</v>
      </c>
      <c r="L79" s="129">
        <f t="shared" si="28"/>
        <v>0</v>
      </c>
      <c r="M79" s="128">
        <f t="shared" si="29"/>
        <v>0</v>
      </c>
      <c r="O79" s="129">
        <f>+SIMULADOR!O96</f>
        <v>0</v>
      </c>
      <c r="Q79" s="125"/>
    </row>
    <row r="80" spans="1:17" x14ac:dyDescent="0.25">
      <c r="A80" s="117">
        <f t="shared" si="23"/>
        <v>45667</v>
      </c>
      <c r="B80" s="117">
        <f t="shared" si="24"/>
        <v>45698</v>
      </c>
      <c r="D80" s="109">
        <f t="shared" si="30"/>
        <v>75</v>
      </c>
      <c r="E80" s="118">
        <f t="shared" si="25"/>
        <v>2321</v>
      </c>
      <c r="F80" s="126">
        <f t="shared" si="26"/>
        <v>0.43800674801978484</v>
      </c>
      <c r="G80" s="127">
        <f t="shared" si="31"/>
        <v>31</v>
      </c>
      <c r="H80" s="128">
        <f>ROUND(IF(D80&lt;=SIMULADOR!$C$11,IF(SIMULADOR!$C$11=D80,I80*(1+$E$3)^G80+I80*($F$3*G80),Calculos!$I$6/Calculos!$F$4),0),2)</f>
        <v>0</v>
      </c>
      <c r="I80" s="128">
        <f>IF(D80&lt;=SIMULADOR!$C$11,I79-H79+M79+L79,0)</f>
        <v>0</v>
      </c>
      <c r="J80" s="128">
        <f>IF(D80&lt;SIMULADOR!$C$11,IF(H80-M80&lt;0,0,H80-M80-L80),I80)</f>
        <v>0</v>
      </c>
      <c r="K80" s="128">
        <f t="shared" si="27"/>
        <v>0</v>
      </c>
      <c r="L80" s="129">
        <f t="shared" si="28"/>
        <v>0</v>
      </c>
      <c r="M80" s="128">
        <f t="shared" si="29"/>
        <v>0</v>
      </c>
      <c r="O80" s="129">
        <f>+SIMULADOR!O97</f>
        <v>0</v>
      </c>
      <c r="Q80" s="125"/>
    </row>
    <row r="81" spans="1:17" x14ac:dyDescent="0.25">
      <c r="A81" s="117">
        <f t="shared" si="23"/>
        <v>45698</v>
      </c>
      <c r="B81" s="117">
        <f t="shared" si="24"/>
        <v>45726</v>
      </c>
      <c r="D81" s="109">
        <f t="shared" si="30"/>
        <v>76</v>
      </c>
      <c r="E81" s="118">
        <f t="shared" si="25"/>
        <v>2352</v>
      </c>
      <c r="F81" s="126">
        <f t="shared" si="26"/>
        <v>0.43320384947043433</v>
      </c>
      <c r="G81" s="127">
        <f t="shared" si="31"/>
        <v>31</v>
      </c>
      <c r="H81" s="128">
        <f>ROUND(IF(D81&lt;=SIMULADOR!$C$11,IF(SIMULADOR!$C$11=D81,I81*(1+$E$3)^G81+I81*($F$3*G81),Calculos!$I$6/Calculos!$F$4),0),2)</f>
        <v>0</v>
      </c>
      <c r="I81" s="128">
        <f>IF(D81&lt;=SIMULADOR!$C$11,I80-H80+M80+L80,0)</f>
        <v>0</v>
      </c>
      <c r="J81" s="128">
        <f>IF(D81&lt;SIMULADOR!$C$11,IF(H81-M81&lt;0,0,H81-M81-L81),I81)</f>
        <v>0</v>
      </c>
      <c r="K81" s="128">
        <f t="shared" si="27"/>
        <v>0</v>
      </c>
      <c r="L81" s="129">
        <f t="shared" si="28"/>
        <v>0</v>
      </c>
      <c r="M81" s="128">
        <f t="shared" si="29"/>
        <v>0</v>
      </c>
      <c r="O81" s="129">
        <f>+SIMULADOR!O98</f>
        <v>0</v>
      </c>
      <c r="Q81" s="125"/>
    </row>
    <row r="82" spans="1:17" x14ac:dyDescent="0.25">
      <c r="A82" s="117">
        <f t="shared" si="23"/>
        <v>45726</v>
      </c>
      <c r="B82" s="117">
        <f t="shared" si="24"/>
        <v>45757</v>
      </c>
      <c r="D82" s="109">
        <f t="shared" si="30"/>
        <v>77</v>
      </c>
      <c r="E82" s="118">
        <f t="shared" si="25"/>
        <v>2380</v>
      </c>
      <c r="F82" s="126">
        <f t="shared" si="26"/>
        <v>0.42891103071643932</v>
      </c>
      <c r="G82" s="127">
        <f t="shared" si="31"/>
        <v>28</v>
      </c>
      <c r="H82" s="128">
        <f>ROUND(IF(D82&lt;=SIMULADOR!$C$11,IF(SIMULADOR!$C$11=D82,I82*(1+$E$3)^G82+I82*($F$3*G82),Calculos!$I$6/Calculos!$F$4),0),2)</f>
        <v>0</v>
      </c>
      <c r="I82" s="128">
        <f>IF(D82&lt;=SIMULADOR!$C$11,I81-H81+M81+L81,0)</f>
        <v>0</v>
      </c>
      <c r="J82" s="128">
        <f>IF(D82&lt;SIMULADOR!$C$11,IF(H82-M82&lt;0,0,H82-M82-L82),I82)</f>
        <v>0</v>
      </c>
      <c r="K82" s="128">
        <f t="shared" si="27"/>
        <v>0</v>
      </c>
      <c r="L82" s="129">
        <f t="shared" si="28"/>
        <v>0</v>
      </c>
      <c r="M82" s="128">
        <f t="shared" si="29"/>
        <v>0</v>
      </c>
      <c r="O82" s="129">
        <f>+SIMULADOR!O99</f>
        <v>0</v>
      </c>
      <c r="Q82" s="125"/>
    </row>
    <row r="83" spans="1:17" x14ac:dyDescent="0.25">
      <c r="A83" s="117">
        <f t="shared" si="23"/>
        <v>45757</v>
      </c>
      <c r="B83" s="117">
        <f t="shared" si="24"/>
        <v>45787</v>
      </c>
      <c r="D83" s="109">
        <f t="shared" si="30"/>
        <v>78</v>
      </c>
      <c r="E83" s="118">
        <f t="shared" si="25"/>
        <v>2411</v>
      </c>
      <c r="F83" s="126">
        <f t="shared" si="26"/>
        <v>0.42420786991688142</v>
      </c>
      <c r="G83" s="127">
        <f t="shared" si="31"/>
        <v>31</v>
      </c>
      <c r="H83" s="128">
        <f>ROUND(IF(D83&lt;=SIMULADOR!$C$11,IF(SIMULADOR!$C$11=D83,I83*(1+$E$3)^G83+I83*($F$3*G83),Calculos!$I$6/Calculos!$F$4),0),2)</f>
        <v>0</v>
      </c>
      <c r="I83" s="128">
        <f>IF(D83&lt;=SIMULADOR!$C$11,I82-H82+M82+L82,0)</f>
        <v>0</v>
      </c>
      <c r="J83" s="128">
        <f>IF(D83&lt;SIMULADOR!$C$11,IF(H83-M83&lt;0,0,H83-M83-L83),I83)</f>
        <v>0</v>
      </c>
      <c r="K83" s="128">
        <f t="shared" si="27"/>
        <v>0</v>
      </c>
      <c r="L83" s="129">
        <f t="shared" si="28"/>
        <v>0</v>
      </c>
      <c r="M83" s="128">
        <f t="shared" si="29"/>
        <v>0</v>
      </c>
      <c r="O83" s="129">
        <f>+SIMULADOR!O100</f>
        <v>0</v>
      </c>
      <c r="Q83" s="125"/>
    </row>
    <row r="84" spans="1:17" x14ac:dyDescent="0.25">
      <c r="A84" s="117">
        <f t="shared" si="23"/>
        <v>45787</v>
      </c>
      <c r="B84" s="117">
        <f t="shared" si="24"/>
        <v>45818</v>
      </c>
      <c r="D84" s="109">
        <f t="shared" si="30"/>
        <v>79</v>
      </c>
      <c r="E84" s="118">
        <f t="shared" si="25"/>
        <v>2441</v>
      </c>
      <c r="F84" s="126">
        <f t="shared" si="26"/>
        <v>0.41970553302748254</v>
      </c>
      <c r="G84" s="127">
        <f t="shared" si="31"/>
        <v>30</v>
      </c>
      <c r="H84" s="128">
        <f>ROUND(IF(D84&lt;=SIMULADOR!$C$11,IF(SIMULADOR!$C$11=D84,I84*(1+$E$3)^G84+I84*($F$3*G84),Calculos!$I$6/Calculos!$F$4),0),2)</f>
        <v>0</v>
      </c>
      <c r="I84" s="128">
        <f>IF(D84&lt;=SIMULADOR!$C$11,I83-H83+M83+L83,0)</f>
        <v>0</v>
      </c>
      <c r="J84" s="128">
        <f>IF(D84&lt;SIMULADOR!$C$11,IF(H84-M84&lt;0,0,H84-M84-L84),I84)</f>
        <v>0</v>
      </c>
      <c r="K84" s="128">
        <f t="shared" si="27"/>
        <v>0</v>
      </c>
      <c r="L84" s="129">
        <f t="shared" si="28"/>
        <v>0</v>
      </c>
      <c r="M84" s="128">
        <f t="shared" si="29"/>
        <v>0</v>
      </c>
      <c r="O84" s="129">
        <f>+SIMULADOR!O101</f>
        <v>0</v>
      </c>
      <c r="Q84" s="125"/>
    </row>
    <row r="85" spans="1:17" x14ac:dyDescent="0.25">
      <c r="A85" s="117">
        <f t="shared" si="23"/>
        <v>45818</v>
      </c>
      <c r="B85" s="117">
        <f t="shared" si="24"/>
        <v>45848</v>
      </c>
      <c r="D85" s="109">
        <f t="shared" si="30"/>
        <v>80</v>
      </c>
      <c r="E85" s="118">
        <f t="shared" si="25"/>
        <v>2472</v>
      </c>
      <c r="F85" s="126">
        <f t="shared" si="26"/>
        <v>0.41510331375838333</v>
      </c>
      <c r="G85" s="127">
        <f t="shared" si="31"/>
        <v>31</v>
      </c>
      <c r="H85" s="128">
        <f>ROUND(IF(D85&lt;=SIMULADOR!$C$11,IF(SIMULADOR!$C$11=D85,I85*(1+$E$3)^G85+I85*($F$3*G85),Calculos!$I$6/Calculos!$F$4),0),2)</f>
        <v>0</v>
      </c>
      <c r="I85" s="128">
        <f>IF(D85&lt;=SIMULADOR!$C$11,I84-H84+M84+L84,0)</f>
        <v>0</v>
      </c>
      <c r="J85" s="128">
        <f>IF(D85&lt;SIMULADOR!$C$11,IF(H85-M85&lt;0,0,H85-M85-L85),I85)</f>
        <v>0</v>
      </c>
      <c r="K85" s="128">
        <f t="shared" si="27"/>
        <v>0</v>
      </c>
      <c r="L85" s="129">
        <f t="shared" si="28"/>
        <v>0</v>
      </c>
      <c r="M85" s="128">
        <f t="shared" si="29"/>
        <v>0</v>
      </c>
      <c r="O85" s="129">
        <f>+SIMULADOR!O102</f>
        <v>0</v>
      </c>
      <c r="Q85" s="125"/>
    </row>
    <row r="86" spans="1:17" x14ac:dyDescent="0.25">
      <c r="A86" s="117">
        <f t="shared" si="23"/>
        <v>45848</v>
      </c>
      <c r="B86" s="117">
        <f t="shared" si="24"/>
        <v>45879</v>
      </c>
      <c r="D86" s="109">
        <f t="shared" si="30"/>
        <v>81</v>
      </c>
      <c r="E86" s="118">
        <f t="shared" si="25"/>
        <v>2502</v>
      </c>
      <c r="F86" s="126">
        <f t="shared" si="26"/>
        <v>0.41069760821875667</v>
      </c>
      <c r="G86" s="127">
        <f t="shared" si="31"/>
        <v>30</v>
      </c>
      <c r="H86" s="128">
        <f>ROUND(IF(D86&lt;=SIMULADOR!$C$11,IF(SIMULADOR!$C$11=D86,I86*(1+$E$3)^G86+I86*($F$3*G86),Calculos!$I$6/Calculos!$F$4),0),2)</f>
        <v>0</v>
      </c>
      <c r="I86" s="128">
        <f>IF(D86&lt;=SIMULADOR!$C$11,I85-H85+M85+L85,0)</f>
        <v>0</v>
      </c>
      <c r="J86" s="128">
        <f>IF(D86&lt;SIMULADOR!$C$11,IF(H86-M86&lt;0,0,H86-M86-L86),I86)</f>
        <v>0</v>
      </c>
      <c r="K86" s="128">
        <f t="shared" si="27"/>
        <v>0</v>
      </c>
      <c r="L86" s="129">
        <f t="shared" si="28"/>
        <v>0</v>
      </c>
      <c r="M86" s="128">
        <f t="shared" si="29"/>
        <v>0</v>
      </c>
      <c r="O86" s="129">
        <f>+SIMULADOR!O103</f>
        <v>0</v>
      </c>
      <c r="Q86" s="125"/>
    </row>
    <row r="87" spans="1:17" x14ac:dyDescent="0.25">
      <c r="A87" s="117">
        <f t="shared" si="23"/>
        <v>45879</v>
      </c>
      <c r="B87" s="117">
        <f t="shared" si="24"/>
        <v>45910</v>
      </c>
      <c r="D87" s="109">
        <f t="shared" si="30"/>
        <v>82</v>
      </c>
      <c r="E87" s="118">
        <f t="shared" si="25"/>
        <v>2533</v>
      </c>
      <c r="F87" s="126">
        <f t="shared" si="26"/>
        <v>0.40619416402376768</v>
      </c>
      <c r="G87" s="127">
        <f t="shared" si="31"/>
        <v>31</v>
      </c>
      <c r="H87" s="128">
        <f>ROUND(IF(D87&lt;=SIMULADOR!$C$11,IF(SIMULADOR!$C$11=D87,I87*(1+$E$3)^G87+I87*($F$3*G87),Calculos!$I$6/Calculos!$F$4),0),2)</f>
        <v>0</v>
      </c>
      <c r="I87" s="128">
        <f>IF(D87&lt;=SIMULADOR!$C$11,I86-H86+M86+L86,0)</f>
        <v>0</v>
      </c>
      <c r="J87" s="128">
        <f>IF(D87&lt;SIMULADOR!$C$11,IF(H87-M87&lt;0,0,H87-M87-L87),I87)</f>
        <v>0</v>
      </c>
      <c r="K87" s="128">
        <f t="shared" si="27"/>
        <v>0</v>
      </c>
      <c r="L87" s="129">
        <f t="shared" si="28"/>
        <v>0</v>
      </c>
      <c r="M87" s="128">
        <f t="shared" si="29"/>
        <v>0</v>
      </c>
      <c r="O87" s="129">
        <f>+SIMULADOR!O104</f>
        <v>0</v>
      </c>
      <c r="Q87" s="125"/>
    </row>
    <row r="88" spans="1:17" x14ac:dyDescent="0.25">
      <c r="A88" s="117">
        <f t="shared" si="23"/>
        <v>45910</v>
      </c>
      <c r="B88" s="117">
        <f t="shared" si="24"/>
        <v>45940</v>
      </c>
      <c r="D88" s="109">
        <f t="shared" si="30"/>
        <v>83</v>
      </c>
      <c r="E88" s="118">
        <f t="shared" si="25"/>
        <v>2564</v>
      </c>
      <c r="F88" s="126">
        <f t="shared" si="26"/>
        <v>0.40174010168348534</v>
      </c>
      <c r="G88" s="127">
        <f t="shared" si="31"/>
        <v>31</v>
      </c>
      <c r="H88" s="128">
        <f>ROUND(IF(D88&lt;=SIMULADOR!$C$11,IF(SIMULADOR!$C$11=D88,I88*(1+$E$3)^G88+I88*($F$3*G88),Calculos!$I$6/Calculos!$F$4),0),2)</f>
        <v>0</v>
      </c>
      <c r="I88" s="128">
        <f>IF(D88&lt;=SIMULADOR!$C$11,I87-H87+M87+L87,0)</f>
        <v>0</v>
      </c>
      <c r="J88" s="128">
        <f>IF(D88&lt;SIMULADOR!$C$11,IF(H88-M88&lt;0,0,H88-M88-L88),I88)</f>
        <v>0</v>
      </c>
      <c r="K88" s="128">
        <f t="shared" si="27"/>
        <v>0</v>
      </c>
      <c r="L88" s="129">
        <f t="shared" si="28"/>
        <v>0</v>
      </c>
      <c r="M88" s="128">
        <f t="shared" si="29"/>
        <v>0</v>
      </c>
      <c r="O88" s="129">
        <f>+SIMULADOR!O105</f>
        <v>0</v>
      </c>
      <c r="Q88" s="125"/>
    </row>
    <row r="89" spans="1:17" x14ac:dyDescent="0.25">
      <c r="A89" s="117">
        <f t="shared" si="23"/>
        <v>45940</v>
      </c>
      <c r="B89" s="117">
        <f t="shared" si="24"/>
        <v>45971</v>
      </c>
      <c r="D89" s="109">
        <f t="shared" si="30"/>
        <v>84</v>
      </c>
      <c r="E89" s="118">
        <f t="shared" si="25"/>
        <v>2594</v>
      </c>
      <c r="F89" s="126">
        <f t="shared" si="26"/>
        <v>0.39747622680507999</v>
      </c>
      <c r="G89" s="127">
        <f t="shared" si="31"/>
        <v>30</v>
      </c>
      <c r="H89" s="128">
        <f>ROUND(IF(D89&lt;=SIMULADOR!$C$11,IF(SIMULADOR!$C$11=D89,I89*(1+$E$3)^G89+I89*($F$3*G89),Calculos!$I$6/Calculos!$F$4),0),2)</f>
        <v>0</v>
      </c>
      <c r="I89" s="128">
        <f>IF(D89&lt;=SIMULADOR!$C$11,I88-H88+M88+L88,0)</f>
        <v>0</v>
      </c>
      <c r="J89" s="128">
        <f>IF(D89&lt;SIMULADOR!$C$11,IF(H89-M89&lt;0,0,H89-M89-L89),I89)</f>
        <v>0</v>
      </c>
      <c r="K89" s="128">
        <f t="shared" si="27"/>
        <v>0</v>
      </c>
      <c r="L89" s="129">
        <f t="shared" si="28"/>
        <v>0</v>
      </c>
      <c r="M89" s="128">
        <f t="shared" si="29"/>
        <v>0</v>
      </c>
      <c r="O89" s="129">
        <f>+SIMULADOR!O106</f>
        <v>0</v>
      </c>
      <c r="Q89" s="125"/>
    </row>
    <row r="90" spans="1:17" x14ac:dyDescent="0.25">
      <c r="A90" s="117">
        <f t="shared" si="23"/>
        <v>45971</v>
      </c>
      <c r="B90" s="117">
        <f t="shared" si="24"/>
        <v>46001</v>
      </c>
      <c r="D90" s="109">
        <f t="shared" si="30"/>
        <v>85</v>
      </c>
      <c r="E90" s="118">
        <f t="shared" si="25"/>
        <v>2625</v>
      </c>
      <c r="F90" s="126">
        <f t="shared" si="26"/>
        <v>0.39311775972265678</v>
      </c>
      <c r="G90" s="127">
        <f t="shared" si="31"/>
        <v>31</v>
      </c>
      <c r="H90" s="128">
        <f>ROUND(IF(D90&lt;=SIMULADOR!$C$11,IF(SIMULADOR!$C$11=D90,I90*(1+$E$3)^G90+I90*($F$3*G90),Calculos!$I$6/Calculos!$F$4),0),2)</f>
        <v>0</v>
      </c>
      <c r="I90" s="128">
        <f>IF(D90&lt;=SIMULADOR!$C$11,I89-H89+M89+L89,0)</f>
        <v>0</v>
      </c>
      <c r="J90" s="128">
        <f>IF(D90&lt;SIMULADOR!$C$11,IF(H90-M90&lt;0,0,H90-M90-L90),I90)</f>
        <v>0</v>
      </c>
      <c r="K90" s="128">
        <f t="shared" si="27"/>
        <v>0</v>
      </c>
      <c r="L90" s="129">
        <f t="shared" si="28"/>
        <v>0</v>
      </c>
      <c r="M90" s="128">
        <f t="shared" si="29"/>
        <v>0</v>
      </c>
      <c r="O90" s="129">
        <f>+SIMULADOR!O107</f>
        <v>0</v>
      </c>
      <c r="Q90" s="125"/>
    </row>
    <row r="91" spans="1:17" x14ac:dyDescent="0.25">
      <c r="A91" s="117">
        <f t="shared" si="23"/>
        <v>46001</v>
      </c>
      <c r="B91" s="117">
        <f t="shared" si="24"/>
        <v>46032</v>
      </c>
      <c r="D91" s="109">
        <f t="shared" si="30"/>
        <v>86</v>
      </c>
      <c r="E91" s="118">
        <f t="shared" si="25"/>
        <v>2655</v>
      </c>
      <c r="F91" s="126">
        <f t="shared" si="26"/>
        <v>0.38894539820606344</v>
      </c>
      <c r="G91" s="127">
        <f t="shared" si="31"/>
        <v>30</v>
      </c>
      <c r="H91" s="128">
        <f>ROUND(IF(D91&lt;=SIMULADOR!$C$11,IF(SIMULADOR!$C$11=D91,I91*(1+$E$3)^G91+I91*($F$3*G91),Calculos!$I$6/Calculos!$F$4),0),2)</f>
        <v>0</v>
      </c>
      <c r="I91" s="128">
        <f>IF(D91&lt;=SIMULADOR!$C$11,I90-H90+M90+L90,0)</f>
        <v>0</v>
      </c>
      <c r="J91" s="128">
        <f>IF(D91&lt;SIMULADOR!$C$11,IF(H91-M91&lt;0,0,H91-M91-L91),I91)</f>
        <v>0</v>
      </c>
      <c r="K91" s="128">
        <f t="shared" si="27"/>
        <v>0</v>
      </c>
      <c r="L91" s="129">
        <f t="shared" si="28"/>
        <v>0</v>
      </c>
      <c r="M91" s="128">
        <f t="shared" si="29"/>
        <v>0</v>
      </c>
      <c r="O91" s="129">
        <f>+SIMULADOR!O108</f>
        <v>0</v>
      </c>
      <c r="Q91" s="125"/>
    </row>
    <row r="92" spans="1:17" x14ac:dyDescent="0.25">
      <c r="A92" s="117">
        <f t="shared" si="23"/>
        <v>46032</v>
      </c>
      <c r="B92" s="117">
        <f t="shared" si="24"/>
        <v>46063</v>
      </c>
      <c r="D92" s="109">
        <f t="shared" si="30"/>
        <v>87</v>
      </c>
      <c r="E92" s="118">
        <f t="shared" si="25"/>
        <v>2686</v>
      </c>
      <c r="F92" s="126">
        <f t="shared" si="26"/>
        <v>0.38468047466946065</v>
      </c>
      <c r="G92" s="127">
        <f t="shared" si="31"/>
        <v>31</v>
      </c>
      <c r="H92" s="128">
        <f>ROUND(IF(D92&lt;=SIMULADOR!$C$11,IF(SIMULADOR!$C$11=D92,I92*(1+$E$3)^G92+I92*($F$3*G92),Calculos!$I$6/Calculos!$F$4),0),2)</f>
        <v>0</v>
      </c>
      <c r="I92" s="128">
        <f>IF(D92&lt;=SIMULADOR!$C$11,I91-H91+M91+L91,0)</f>
        <v>0</v>
      </c>
      <c r="J92" s="128">
        <f>IF(D92&lt;SIMULADOR!$C$11,IF(H92-M92&lt;0,0,H92-M92-L92),I92)</f>
        <v>0</v>
      </c>
      <c r="K92" s="128">
        <f t="shared" si="27"/>
        <v>0</v>
      </c>
      <c r="L92" s="129">
        <f t="shared" si="28"/>
        <v>0</v>
      </c>
      <c r="M92" s="128">
        <f t="shared" si="29"/>
        <v>0</v>
      </c>
      <c r="O92" s="129">
        <f>+SIMULADOR!O109</f>
        <v>0</v>
      </c>
      <c r="Q92" s="125"/>
    </row>
    <row r="93" spans="1:17" x14ac:dyDescent="0.25">
      <c r="A93" s="117">
        <f t="shared" si="23"/>
        <v>46063</v>
      </c>
      <c r="B93" s="117">
        <f t="shared" si="24"/>
        <v>46091</v>
      </c>
      <c r="D93" s="109">
        <f t="shared" si="30"/>
        <v>88</v>
      </c>
      <c r="E93" s="118">
        <f t="shared" si="25"/>
        <v>2717</v>
      </c>
      <c r="F93" s="126">
        <f t="shared" si="26"/>
        <v>0.38046231752437926</v>
      </c>
      <c r="G93" s="127">
        <f t="shared" si="31"/>
        <v>31</v>
      </c>
      <c r="H93" s="128">
        <f>ROUND(IF(D93&lt;=SIMULADOR!$C$11,IF(SIMULADOR!$C$11=D93,I93*(1+$E$3)^G93+I93*($F$3*G93),Calculos!$I$6/Calculos!$F$4),0),2)</f>
        <v>0</v>
      </c>
      <c r="I93" s="128">
        <f>IF(D93&lt;=SIMULADOR!$C$11,I92-H92+M92+L92,0)</f>
        <v>0</v>
      </c>
      <c r="J93" s="128">
        <f>IF(D93&lt;SIMULADOR!$C$11,IF(H93-M93&lt;0,0,H93-M93-L93),I93)</f>
        <v>0</v>
      </c>
      <c r="K93" s="128">
        <f t="shared" si="27"/>
        <v>0</v>
      </c>
      <c r="L93" s="129">
        <f t="shared" si="28"/>
        <v>0</v>
      </c>
      <c r="M93" s="128">
        <f t="shared" si="29"/>
        <v>0</v>
      </c>
      <c r="O93" s="129">
        <f>+SIMULADOR!O110</f>
        <v>0</v>
      </c>
      <c r="Q93" s="125"/>
    </row>
    <row r="94" spans="1:17" x14ac:dyDescent="0.25">
      <c r="A94" s="117">
        <f t="shared" si="23"/>
        <v>46091</v>
      </c>
      <c r="B94" s="117">
        <f t="shared" si="24"/>
        <v>46122</v>
      </c>
      <c r="D94" s="109">
        <f t="shared" si="30"/>
        <v>89</v>
      </c>
      <c r="E94" s="118">
        <f t="shared" si="25"/>
        <v>2745</v>
      </c>
      <c r="F94" s="126">
        <f t="shared" si="26"/>
        <v>0.37669213918027272</v>
      </c>
      <c r="G94" s="127">
        <f t="shared" si="31"/>
        <v>28</v>
      </c>
      <c r="H94" s="128">
        <f>ROUND(IF(D94&lt;=SIMULADOR!$C$11,IF(SIMULADOR!$C$11=D94,I94*(1+$E$3)^G94+I94*($F$3*G94),Calculos!$I$6/Calculos!$F$4),0),2)</f>
        <v>0</v>
      </c>
      <c r="I94" s="128">
        <f>IF(D94&lt;=SIMULADOR!$C$11,I93-H93+M93+L93,0)</f>
        <v>0</v>
      </c>
      <c r="J94" s="128">
        <f>IF(D94&lt;SIMULADOR!$C$11,IF(H94-M94&lt;0,0,H94-M94-L94),I94)</f>
        <v>0</v>
      </c>
      <c r="K94" s="128">
        <f t="shared" si="27"/>
        <v>0</v>
      </c>
      <c r="L94" s="129">
        <f t="shared" si="28"/>
        <v>0</v>
      </c>
      <c r="M94" s="128">
        <f t="shared" si="29"/>
        <v>0</v>
      </c>
      <c r="O94" s="129">
        <f>+SIMULADOR!O111</f>
        <v>0</v>
      </c>
      <c r="Q94" s="125"/>
    </row>
    <row r="95" spans="1:17" x14ac:dyDescent="0.25">
      <c r="A95" s="117">
        <f t="shared" si="23"/>
        <v>46122</v>
      </c>
      <c r="B95" s="117">
        <f t="shared" si="24"/>
        <v>46152</v>
      </c>
      <c r="D95" s="109">
        <f t="shared" si="30"/>
        <v>90</v>
      </c>
      <c r="E95" s="118">
        <f t="shared" si="25"/>
        <v>2776</v>
      </c>
      <c r="F95" s="126">
        <f t="shared" si="26"/>
        <v>0.3725615769526357</v>
      </c>
      <c r="G95" s="127">
        <f t="shared" si="31"/>
        <v>31</v>
      </c>
      <c r="H95" s="128">
        <f>ROUND(IF(D95&lt;=SIMULADOR!$C$11,IF(SIMULADOR!$C$11=D95,I95*(1+$E$3)^G95+I95*($F$3*G95),Calculos!$I$6/Calculos!$F$4),0),2)</f>
        <v>0</v>
      </c>
      <c r="I95" s="128">
        <f>IF(D95&lt;=SIMULADOR!$C$11,I94-H94+M94+L94,0)</f>
        <v>0</v>
      </c>
      <c r="J95" s="128">
        <f>IF(D95&lt;SIMULADOR!$C$11,IF(H95-M95&lt;0,0,H95-M95-L95),I95)</f>
        <v>0</v>
      </c>
      <c r="K95" s="128">
        <f t="shared" si="27"/>
        <v>0</v>
      </c>
      <c r="L95" s="129">
        <f t="shared" si="28"/>
        <v>0</v>
      </c>
      <c r="M95" s="128">
        <f t="shared" si="29"/>
        <v>0</v>
      </c>
      <c r="O95" s="129">
        <f>+SIMULADOR!O112</f>
        <v>0</v>
      </c>
      <c r="Q95" s="125"/>
    </row>
    <row r="96" spans="1:17" x14ac:dyDescent="0.25">
      <c r="A96" s="117">
        <f t="shared" si="23"/>
        <v>46152</v>
      </c>
      <c r="B96" s="117">
        <f t="shared" si="24"/>
        <v>46183</v>
      </c>
      <c r="D96" s="109">
        <f t="shared" si="30"/>
        <v>91</v>
      </c>
      <c r="E96" s="118">
        <f t="shared" si="25"/>
        <v>2806</v>
      </c>
      <c r="F96" s="126">
        <f t="shared" si="26"/>
        <v>0.36860738880469973</v>
      </c>
      <c r="G96" s="127">
        <f t="shared" si="31"/>
        <v>30</v>
      </c>
      <c r="H96" s="128">
        <f>ROUND(IF(D96&lt;=SIMULADOR!$C$11,IF(SIMULADOR!$C$11=D96,I96*(1+$E$3)^G96+I96*($F$3*G96),Calculos!$I$6/Calculos!$F$4),0),2)</f>
        <v>0</v>
      </c>
      <c r="I96" s="128">
        <f>IF(D96&lt;=SIMULADOR!$C$11,I95-H95+M95+L95,0)</f>
        <v>0</v>
      </c>
      <c r="J96" s="128">
        <f>IF(D96&lt;SIMULADOR!$C$11,IF(H96-M96&lt;0,0,H96-M96-L96),I96)</f>
        <v>0</v>
      </c>
      <c r="K96" s="128">
        <f t="shared" si="27"/>
        <v>0</v>
      </c>
      <c r="L96" s="129">
        <f t="shared" si="28"/>
        <v>0</v>
      </c>
      <c r="M96" s="128">
        <f t="shared" si="29"/>
        <v>0</v>
      </c>
      <c r="O96" s="129">
        <f>+SIMULADOR!O113</f>
        <v>0</v>
      </c>
      <c r="Q96" s="125"/>
    </row>
    <row r="97" spans="1:17" x14ac:dyDescent="0.25">
      <c r="A97" s="117">
        <f t="shared" si="23"/>
        <v>46183</v>
      </c>
      <c r="B97" s="117">
        <f t="shared" si="24"/>
        <v>46213</v>
      </c>
      <c r="D97" s="109">
        <f t="shared" si="30"/>
        <v>92</v>
      </c>
      <c r="E97" s="118">
        <f t="shared" si="25"/>
        <v>2837</v>
      </c>
      <c r="F97" s="126">
        <f t="shared" si="26"/>
        <v>0.36456547871775724</v>
      </c>
      <c r="G97" s="127">
        <f t="shared" si="31"/>
        <v>31</v>
      </c>
      <c r="H97" s="128">
        <f>ROUND(IF(D97&lt;=SIMULADOR!$C$11,IF(SIMULADOR!$C$11=D97,I97*(1+$E$3)^G97+I97*($F$3*G97),Calculos!$I$6/Calculos!$F$4),0),2)</f>
        <v>0</v>
      </c>
      <c r="I97" s="128">
        <f>IF(D97&lt;=SIMULADOR!$C$11,I96-H96+M96+L96,0)</f>
        <v>0</v>
      </c>
      <c r="J97" s="128">
        <f>IF(D97&lt;SIMULADOR!$C$11,IF(H97-M97&lt;0,0,H97-M97-L97),I97)</f>
        <v>0</v>
      </c>
      <c r="K97" s="128">
        <f t="shared" si="27"/>
        <v>0</v>
      </c>
      <c r="L97" s="129">
        <f t="shared" si="28"/>
        <v>0</v>
      </c>
      <c r="M97" s="128">
        <f t="shared" si="29"/>
        <v>0</v>
      </c>
      <c r="O97" s="129">
        <f>+SIMULADOR!O114</f>
        <v>0</v>
      </c>
      <c r="Q97" s="125"/>
    </row>
    <row r="98" spans="1:17" x14ac:dyDescent="0.25">
      <c r="A98" s="117">
        <f t="shared" si="23"/>
        <v>46213</v>
      </c>
      <c r="B98" s="117">
        <f t="shared" si="24"/>
        <v>46244</v>
      </c>
      <c r="D98" s="109">
        <f t="shared" si="30"/>
        <v>93</v>
      </c>
      <c r="E98" s="118">
        <f t="shared" si="25"/>
        <v>2867</v>
      </c>
      <c r="F98" s="126">
        <f t="shared" si="26"/>
        <v>0.36069615728401305</v>
      </c>
      <c r="G98" s="127">
        <f t="shared" si="31"/>
        <v>30</v>
      </c>
      <c r="H98" s="128">
        <f>ROUND(IF(D98&lt;=SIMULADOR!$C$11,IF(SIMULADOR!$C$11=D98,I98*(1+$E$3)^G98+I98*($F$3*G98),Calculos!$I$6/Calculos!$F$4),0),2)</f>
        <v>0</v>
      </c>
      <c r="I98" s="128">
        <f>IF(D98&lt;=SIMULADOR!$C$11,I97-H97+M97+L97,0)</f>
        <v>0</v>
      </c>
      <c r="J98" s="128">
        <f>IF(D98&lt;SIMULADOR!$C$11,IF(H98-M98&lt;0,0,H98-M98-L98),I98)</f>
        <v>0</v>
      </c>
      <c r="K98" s="128">
        <f t="shared" si="27"/>
        <v>0</v>
      </c>
      <c r="L98" s="129">
        <f t="shared" si="28"/>
        <v>0</v>
      </c>
      <c r="M98" s="128">
        <f t="shared" si="29"/>
        <v>0</v>
      </c>
      <c r="O98" s="129">
        <f>+SIMULADOR!O115</f>
        <v>0</v>
      </c>
      <c r="Q98" s="125"/>
    </row>
    <row r="99" spans="1:17" x14ac:dyDescent="0.25">
      <c r="A99" s="117">
        <f t="shared" si="23"/>
        <v>46244</v>
      </c>
      <c r="B99" s="117">
        <f t="shared" si="24"/>
        <v>46275</v>
      </c>
      <c r="D99" s="109">
        <f t="shared" si="30"/>
        <v>94</v>
      </c>
      <c r="E99" s="118">
        <f t="shared" si="25"/>
        <v>2898</v>
      </c>
      <c r="F99" s="126">
        <f t="shared" si="26"/>
        <v>0.35674099664229292</v>
      </c>
      <c r="G99" s="127">
        <f t="shared" si="31"/>
        <v>31</v>
      </c>
      <c r="H99" s="128">
        <f>ROUND(IF(D99&lt;=SIMULADOR!$C$11,IF(SIMULADOR!$C$11=D99,I99*(1+$E$3)^G99+I99*($F$3*G99),Calculos!$I$6/Calculos!$F$4),0),2)</f>
        <v>0</v>
      </c>
      <c r="I99" s="128">
        <f>IF(D99&lt;=SIMULADOR!$C$11,I98-H98+M98+L98,0)</f>
        <v>0</v>
      </c>
      <c r="J99" s="128">
        <f>IF(D99&lt;SIMULADOR!$C$11,IF(H99-M99&lt;0,0,H99-M99-L99),I99)</f>
        <v>0</v>
      </c>
      <c r="K99" s="128">
        <f t="shared" si="27"/>
        <v>0</v>
      </c>
      <c r="L99" s="129">
        <f t="shared" si="28"/>
        <v>0</v>
      </c>
      <c r="M99" s="128">
        <f t="shared" si="29"/>
        <v>0</v>
      </c>
      <c r="O99" s="129">
        <f>+SIMULADOR!O116</f>
        <v>0</v>
      </c>
      <c r="Q99" s="125"/>
    </row>
    <row r="100" spans="1:17" x14ac:dyDescent="0.25">
      <c r="A100" s="117">
        <f t="shared" si="23"/>
        <v>46275</v>
      </c>
      <c r="B100" s="117">
        <f t="shared" si="24"/>
        <v>46305</v>
      </c>
      <c r="D100" s="109">
        <f t="shared" si="30"/>
        <v>95</v>
      </c>
      <c r="E100" s="118">
        <f t="shared" si="25"/>
        <v>2929</v>
      </c>
      <c r="F100" s="126">
        <f t="shared" si="26"/>
        <v>0.35282920573264742</v>
      </c>
      <c r="G100" s="127">
        <f t="shared" si="31"/>
        <v>31</v>
      </c>
      <c r="H100" s="128">
        <f>ROUND(IF(D100&lt;=SIMULADOR!$C$11,IF(SIMULADOR!$C$11=D100,I100*(1+$E$3)^G100+I100*($F$3*G100),Calculos!$I$6/Calculos!$F$4),0),2)</f>
        <v>0</v>
      </c>
      <c r="I100" s="128">
        <f>IF(D100&lt;=SIMULADOR!$C$11,I99-H99+M99+L99,0)</f>
        <v>0</v>
      </c>
      <c r="J100" s="128">
        <f>IF(D100&lt;SIMULADOR!$C$11,IF(H100-M100&lt;0,0,H100-M100-L100),I100)</f>
        <v>0</v>
      </c>
      <c r="K100" s="128">
        <f t="shared" si="27"/>
        <v>0</v>
      </c>
      <c r="L100" s="129">
        <f t="shared" si="28"/>
        <v>0</v>
      </c>
      <c r="M100" s="128">
        <f t="shared" si="29"/>
        <v>0</v>
      </c>
      <c r="O100" s="129">
        <f>+SIMULADOR!O117</f>
        <v>0</v>
      </c>
      <c r="Q100" s="125"/>
    </row>
    <row r="101" spans="1:17" x14ac:dyDescent="0.25">
      <c r="A101" s="117">
        <f t="shared" si="23"/>
        <v>46305</v>
      </c>
      <c r="B101" s="117">
        <f t="shared" si="24"/>
        <v>46336</v>
      </c>
      <c r="D101" s="109">
        <f t="shared" si="30"/>
        <v>96</v>
      </c>
      <c r="E101" s="118">
        <f t="shared" si="25"/>
        <v>2959</v>
      </c>
      <c r="F101" s="126">
        <f t="shared" si="26"/>
        <v>0.34908444741654465</v>
      </c>
      <c r="G101" s="127">
        <f t="shared" si="31"/>
        <v>30</v>
      </c>
      <c r="H101" s="128">
        <f>ROUND(IF(D101&lt;=SIMULADOR!$C$11,IF(SIMULADOR!$C$11=D101,I101*(1+$E$3)^G101+I101*($F$3*G101),Calculos!$I$6/Calculos!$F$4),0),2)</f>
        <v>0</v>
      </c>
      <c r="I101" s="128">
        <f>IF(D101&lt;=SIMULADOR!$C$11,I100-H100+M100+L100,0)</f>
        <v>0</v>
      </c>
      <c r="J101" s="128">
        <f>IF(D101&lt;SIMULADOR!$C$11,IF(H101-M101&lt;0,0,H101-M101-L101),I101)</f>
        <v>0</v>
      </c>
      <c r="K101" s="128">
        <f t="shared" si="27"/>
        <v>0</v>
      </c>
      <c r="L101" s="129">
        <f t="shared" si="28"/>
        <v>0</v>
      </c>
      <c r="M101" s="128">
        <f t="shared" si="29"/>
        <v>0</v>
      </c>
      <c r="O101" s="129">
        <f>+SIMULADOR!O118</f>
        <v>0</v>
      </c>
      <c r="Q101" s="125"/>
    </row>
    <row r="102" spans="1:17" x14ac:dyDescent="0.25">
      <c r="A102" s="117">
        <f t="shared" ref="A102:A124" si="32">+B101</f>
        <v>46336</v>
      </c>
      <c r="B102" s="117">
        <f t="shared" ref="B102:B124" si="33">+EDATE(A102,1)</f>
        <v>46366</v>
      </c>
      <c r="D102" s="109">
        <f t="shared" si="30"/>
        <v>97</v>
      </c>
      <c r="E102" s="118">
        <f t="shared" ref="E102:E125" si="34">+B101-$A$5</f>
        <v>2990</v>
      </c>
      <c r="F102" s="126">
        <f t="shared" ref="F102:F125" si="35">1/((1+$E$3)^E102*(1+$F$3)^E102)</f>
        <v>0.34525661327088897</v>
      </c>
      <c r="G102" s="127">
        <f t="shared" si="31"/>
        <v>31</v>
      </c>
      <c r="H102" s="128">
        <f>ROUND(IF(D102&lt;=SIMULADOR!$C$11,IF(SIMULADOR!$C$11=D102,I102*(1+$E$3)^G102+I102*($F$3*G102),Calculos!$I$6/Calculos!$F$4),0),2)</f>
        <v>0</v>
      </c>
      <c r="I102" s="128">
        <f>IF(D102&lt;=SIMULADOR!$C$11,I101-H101+M101+L101,0)</f>
        <v>0</v>
      </c>
      <c r="J102" s="128">
        <f>IF(D102&lt;SIMULADOR!$C$11,IF(H102-M102&lt;0,0,H102-M102-L102),I102)</f>
        <v>0</v>
      </c>
      <c r="K102" s="128">
        <f t="shared" ref="K102:K125" si="36">+H102-L102-J102</f>
        <v>0</v>
      </c>
      <c r="L102" s="129">
        <f t="shared" ref="L102:L125" si="37">ROUND(I102*(($F$3*G102)),2)</f>
        <v>0</v>
      </c>
      <c r="M102" s="128">
        <f t="shared" ref="M102:M125" si="38">ROUND(I102*((1+$E$3)^G102-1),2)</f>
        <v>0</v>
      </c>
      <c r="O102" s="129">
        <f>+SIMULADOR!O119</f>
        <v>0</v>
      </c>
      <c r="Q102" s="125"/>
    </row>
    <row r="103" spans="1:17" x14ac:dyDescent="0.25">
      <c r="A103" s="117">
        <f t="shared" si="32"/>
        <v>46366</v>
      </c>
      <c r="B103" s="117">
        <f t="shared" si="33"/>
        <v>46397</v>
      </c>
      <c r="D103" s="109">
        <f t="shared" si="30"/>
        <v>98</v>
      </c>
      <c r="E103" s="118">
        <f t="shared" si="34"/>
        <v>3020</v>
      </c>
      <c r="F103" s="126">
        <f t="shared" si="35"/>
        <v>0.34159222678380408</v>
      </c>
      <c r="G103" s="127">
        <f t="shared" ref="G103:G125" si="39">+E103-E102</f>
        <v>30</v>
      </c>
      <c r="H103" s="128">
        <f>ROUND(IF(D103&lt;=SIMULADOR!$C$11,IF(SIMULADOR!$C$11=D103,I103*(1+$E$3)^G103+I103*($F$3*G103),Calculos!$I$6/Calculos!$F$4),0),2)</f>
        <v>0</v>
      </c>
      <c r="I103" s="128">
        <f>IF(D103&lt;=SIMULADOR!$C$11,I102-H102+M102+L102,0)</f>
        <v>0</v>
      </c>
      <c r="J103" s="128">
        <f>IF(D103&lt;SIMULADOR!$C$11,IF(H103-M103&lt;0,0,H103-M103-L103),I103)</f>
        <v>0</v>
      </c>
      <c r="K103" s="128">
        <f t="shared" si="36"/>
        <v>0</v>
      </c>
      <c r="L103" s="129">
        <f t="shared" si="37"/>
        <v>0</v>
      </c>
      <c r="M103" s="128">
        <f t="shared" si="38"/>
        <v>0</v>
      </c>
      <c r="O103" s="129">
        <f>+SIMULADOR!O120</f>
        <v>0</v>
      </c>
      <c r="Q103" s="125"/>
    </row>
    <row r="104" spans="1:17" x14ac:dyDescent="0.25">
      <c r="A104" s="117">
        <f t="shared" si="32"/>
        <v>46397</v>
      </c>
      <c r="B104" s="117">
        <f t="shared" si="33"/>
        <v>46428</v>
      </c>
      <c r="D104" s="109">
        <f t="shared" si="30"/>
        <v>99</v>
      </c>
      <c r="E104" s="118">
        <f t="shared" si="34"/>
        <v>3051</v>
      </c>
      <c r="F104" s="126">
        <f t="shared" si="35"/>
        <v>0.33784654748112991</v>
      </c>
      <c r="G104" s="127">
        <f t="shared" si="39"/>
        <v>31</v>
      </c>
      <c r="H104" s="128">
        <f>ROUND(IF(D104&lt;=SIMULADOR!$C$11,IF(SIMULADOR!$C$11=D104,I104*(1+$E$3)^G104+I104*($F$3*G104),Calculos!$I$6/Calculos!$F$4),0),2)</f>
        <v>0</v>
      </c>
      <c r="I104" s="128">
        <f>IF(D104&lt;=SIMULADOR!$C$11,I103-H103+M103+L103,0)</f>
        <v>0</v>
      </c>
      <c r="J104" s="128">
        <f>IF(D104&lt;SIMULADOR!$C$11,IF(H104-M104&lt;0,0,H104-M104-L104),I104)</f>
        <v>0</v>
      </c>
      <c r="K104" s="128">
        <f t="shared" si="36"/>
        <v>0</v>
      </c>
      <c r="L104" s="129">
        <f t="shared" si="37"/>
        <v>0</v>
      </c>
      <c r="M104" s="128">
        <f t="shared" si="38"/>
        <v>0</v>
      </c>
      <c r="O104" s="129">
        <f>+SIMULADOR!O121</f>
        <v>0</v>
      </c>
      <c r="Q104" s="125"/>
    </row>
    <row r="105" spans="1:17" x14ac:dyDescent="0.25">
      <c r="A105" s="117">
        <f t="shared" si="32"/>
        <v>46428</v>
      </c>
      <c r="B105" s="117">
        <f t="shared" si="33"/>
        <v>46456</v>
      </c>
      <c r="D105" s="109">
        <f t="shared" si="30"/>
        <v>100</v>
      </c>
      <c r="E105" s="118">
        <f t="shared" si="34"/>
        <v>3082</v>
      </c>
      <c r="F105" s="126">
        <f t="shared" si="35"/>
        <v>0.33414194087372889</v>
      </c>
      <c r="G105" s="127">
        <f t="shared" si="39"/>
        <v>31</v>
      </c>
      <c r="H105" s="128">
        <f>ROUND(IF(D105&lt;=SIMULADOR!$C$11,IF(SIMULADOR!$C$11=D105,I105*(1+$E$3)^G105+I105*($F$3*G105),Calculos!$I$6/Calculos!$F$4),0),2)</f>
        <v>0</v>
      </c>
      <c r="I105" s="128">
        <f>IF(D105&lt;=SIMULADOR!$C$11,I104-H104+M104+L104,0)</f>
        <v>0</v>
      </c>
      <c r="J105" s="128">
        <f>IF(D105&lt;SIMULADOR!$C$11,IF(H105-M105&lt;0,0,H105-M105-L105),I105)</f>
        <v>0</v>
      </c>
      <c r="K105" s="128">
        <f t="shared" si="36"/>
        <v>0</v>
      </c>
      <c r="L105" s="129">
        <f t="shared" si="37"/>
        <v>0</v>
      </c>
      <c r="M105" s="128">
        <f t="shared" si="38"/>
        <v>0</v>
      </c>
      <c r="O105" s="129">
        <f>+SIMULADOR!O122</f>
        <v>0</v>
      </c>
      <c r="Q105" s="125"/>
    </row>
    <row r="106" spans="1:17" x14ac:dyDescent="0.25">
      <c r="A106" s="117">
        <f t="shared" si="32"/>
        <v>46456</v>
      </c>
      <c r="B106" s="117">
        <f t="shared" si="33"/>
        <v>46487</v>
      </c>
      <c r="D106" s="109">
        <f t="shared" si="30"/>
        <v>101</v>
      </c>
      <c r="E106" s="118">
        <f t="shared" si="34"/>
        <v>3110</v>
      </c>
      <c r="F106" s="126">
        <f t="shared" si="35"/>
        <v>0.33083077272036993</v>
      </c>
      <c r="G106" s="127">
        <f t="shared" si="39"/>
        <v>28</v>
      </c>
      <c r="H106" s="128">
        <f>ROUND(IF(D106&lt;=SIMULADOR!$C$11,IF(SIMULADOR!$C$11=D106,I106*(1+$E$3)^G106+I106*($F$3*G106),Calculos!$I$6/Calculos!$F$4),0),2)</f>
        <v>0</v>
      </c>
      <c r="I106" s="128">
        <f>IF(D106&lt;=SIMULADOR!$C$11,I105-H105+M105+L105,0)</f>
        <v>0</v>
      </c>
      <c r="J106" s="128">
        <f>IF(D106&lt;SIMULADOR!$C$11,IF(H106-M106&lt;0,0,H106-M106-L106),I106)</f>
        <v>0</v>
      </c>
      <c r="K106" s="128">
        <f t="shared" si="36"/>
        <v>0</v>
      </c>
      <c r="L106" s="129">
        <f t="shared" si="37"/>
        <v>0</v>
      </c>
      <c r="M106" s="128">
        <f t="shared" si="38"/>
        <v>0</v>
      </c>
      <c r="O106" s="129">
        <f>+SIMULADOR!O123</f>
        <v>0</v>
      </c>
      <c r="Q106" s="125"/>
    </row>
    <row r="107" spans="1:17" x14ac:dyDescent="0.25">
      <c r="A107" s="117">
        <f t="shared" si="32"/>
        <v>46487</v>
      </c>
      <c r="B107" s="117">
        <f t="shared" si="33"/>
        <v>46517</v>
      </c>
      <c r="D107" s="109">
        <f t="shared" si="30"/>
        <v>102</v>
      </c>
      <c r="E107" s="118">
        <f t="shared" si="34"/>
        <v>3141</v>
      </c>
      <c r="F107" s="126">
        <f t="shared" si="35"/>
        <v>0.32720309655884311</v>
      </c>
      <c r="G107" s="127">
        <f t="shared" si="39"/>
        <v>31</v>
      </c>
      <c r="H107" s="128">
        <f>ROUND(IF(D107&lt;=SIMULADOR!$C$11,IF(SIMULADOR!$C$11=D107,I107*(1+$E$3)^G107+I107*($F$3*G107),Calculos!$I$6/Calculos!$F$4),0),2)</f>
        <v>0</v>
      </c>
      <c r="I107" s="128">
        <f>IF(D107&lt;=SIMULADOR!$C$11,I106-H106+M106+L106,0)</f>
        <v>0</v>
      </c>
      <c r="J107" s="128">
        <f>IF(D107&lt;SIMULADOR!$C$11,IF(H107-M107&lt;0,0,H107-M107-L107),I107)</f>
        <v>0</v>
      </c>
      <c r="K107" s="128">
        <f t="shared" si="36"/>
        <v>0</v>
      </c>
      <c r="L107" s="129">
        <f t="shared" si="37"/>
        <v>0</v>
      </c>
      <c r="M107" s="128">
        <f t="shared" si="38"/>
        <v>0</v>
      </c>
      <c r="O107" s="129">
        <f>+SIMULADOR!O124</f>
        <v>0</v>
      </c>
      <c r="Q107" s="125"/>
    </row>
    <row r="108" spans="1:17" x14ac:dyDescent="0.25">
      <c r="A108" s="117">
        <f t="shared" si="32"/>
        <v>46517</v>
      </c>
      <c r="B108" s="117">
        <f t="shared" si="33"/>
        <v>46548</v>
      </c>
      <c r="D108" s="109">
        <f t="shared" ref="D108:D125" si="40">+D107+1</f>
        <v>103</v>
      </c>
      <c r="E108" s="118">
        <f t="shared" si="34"/>
        <v>3171</v>
      </c>
      <c r="F108" s="126">
        <f t="shared" si="35"/>
        <v>0.32373032135490593</v>
      </c>
      <c r="G108" s="127">
        <f t="shared" si="39"/>
        <v>30</v>
      </c>
      <c r="H108" s="128">
        <f>ROUND(IF(D108&lt;=SIMULADOR!$C$11,IF(SIMULADOR!$C$11=D108,I108*(1+$E$3)^G108+I108*($F$3*G108),Calculos!$I$6/Calculos!$F$4),0),2)</f>
        <v>0</v>
      </c>
      <c r="I108" s="128">
        <f>IF(D108&lt;=SIMULADOR!$C$11,I107-H107+M107+L107,0)</f>
        <v>0</v>
      </c>
      <c r="J108" s="128">
        <f>IF(D108&lt;SIMULADOR!$C$11,IF(H108-M108&lt;0,0,H108-M108-L108),I108)</f>
        <v>0</v>
      </c>
      <c r="K108" s="128">
        <f t="shared" si="36"/>
        <v>0</v>
      </c>
      <c r="L108" s="129">
        <f t="shared" si="37"/>
        <v>0</v>
      </c>
      <c r="M108" s="128">
        <f t="shared" si="38"/>
        <v>0</v>
      </c>
      <c r="O108" s="129">
        <f>+SIMULADOR!O125</f>
        <v>0</v>
      </c>
      <c r="Q108" s="125"/>
    </row>
    <row r="109" spans="1:17" x14ac:dyDescent="0.25">
      <c r="A109" s="117">
        <f t="shared" si="32"/>
        <v>46548</v>
      </c>
      <c r="B109" s="117">
        <f t="shared" si="33"/>
        <v>46578</v>
      </c>
      <c r="D109" s="109">
        <f t="shared" si="40"/>
        <v>104</v>
      </c>
      <c r="E109" s="118">
        <f t="shared" si="34"/>
        <v>3202</v>
      </c>
      <c r="F109" s="126">
        <f t="shared" si="35"/>
        <v>0.32018050414810312</v>
      </c>
      <c r="G109" s="127">
        <f t="shared" si="39"/>
        <v>31</v>
      </c>
      <c r="H109" s="128">
        <f>ROUND(IF(D109&lt;=SIMULADOR!$C$11,IF(SIMULADOR!$C$11=D109,I109*(1+$E$3)^G109+I109*($F$3*G109),Calculos!$I$6/Calculos!$F$4),0),2)</f>
        <v>0</v>
      </c>
      <c r="I109" s="128">
        <f>IF(D109&lt;=SIMULADOR!$C$11,I108-H108+M108+L108,0)</f>
        <v>0</v>
      </c>
      <c r="J109" s="128">
        <f>IF(D109&lt;SIMULADOR!$C$11,IF(H109-M109&lt;0,0,H109-M109-L109),I109)</f>
        <v>0</v>
      </c>
      <c r="K109" s="128">
        <f t="shared" si="36"/>
        <v>0</v>
      </c>
      <c r="L109" s="129">
        <f t="shared" si="37"/>
        <v>0</v>
      </c>
      <c r="M109" s="128">
        <f t="shared" si="38"/>
        <v>0</v>
      </c>
      <c r="O109" s="129">
        <f>+SIMULADOR!O126</f>
        <v>0</v>
      </c>
      <c r="Q109" s="125"/>
    </row>
    <row r="110" spans="1:17" x14ac:dyDescent="0.25">
      <c r="A110" s="117">
        <f t="shared" si="32"/>
        <v>46578</v>
      </c>
      <c r="B110" s="117">
        <f t="shared" si="33"/>
        <v>46609</v>
      </c>
      <c r="D110" s="109">
        <f t="shared" si="40"/>
        <v>105</v>
      </c>
      <c r="E110" s="118">
        <f t="shared" si="34"/>
        <v>3232</v>
      </c>
      <c r="F110" s="126">
        <f t="shared" si="35"/>
        <v>0.31678226333900467</v>
      </c>
      <c r="G110" s="127">
        <f t="shared" si="39"/>
        <v>30</v>
      </c>
      <c r="H110" s="128">
        <f>ROUND(IF(D110&lt;=SIMULADOR!$C$11,IF(SIMULADOR!$C$11=D110,I110*(1+$E$3)^G110+I110*($F$3*G110),Calculos!$I$6/Calculos!$F$4),0),2)</f>
        <v>0</v>
      </c>
      <c r="I110" s="128">
        <f>IF(D110&lt;=SIMULADOR!$C$11,I109-H109+M109+L109,0)</f>
        <v>0</v>
      </c>
      <c r="J110" s="128">
        <f>IF(D110&lt;SIMULADOR!$C$11,IF(H110-M110&lt;0,0,H110-M110-L110),I110)</f>
        <v>0</v>
      </c>
      <c r="K110" s="128">
        <f t="shared" si="36"/>
        <v>0</v>
      </c>
      <c r="L110" s="129">
        <f t="shared" si="37"/>
        <v>0</v>
      </c>
      <c r="M110" s="128">
        <f t="shared" si="38"/>
        <v>0</v>
      </c>
      <c r="O110" s="129">
        <f>+SIMULADOR!O127</f>
        <v>0</v>
      </c>
      <c r="Q110" s="125"/>
    </row>
    <row r="111" spans="1:17" x14ac:dyDescent="0.25">
      <c r="A111" s="117">
        <f t="shared" si="32"/>
        <v>46609</v>
      </c>
      <c r="B111" s="117">
        <f t="shared" si="33"/>
        <v>46640</v>
      </c>
      <c r="D111" s="109">
        <f t="shared" si="40"/>
        <v>106</v>
      </c>
      <c r="E111" s="118">
        <f t="shared" si="34"/>
        <v>3263</v>
      </c>
      <c r="F111" s="126">
        <f t="shared" si="35"/>
        <v>0.31330863404007386</v>
      </c>
      <c r="G111" s="127">
        <f t="shared" si="39"/>
        <v>31</v>
      </c>
      <c r="H111" s="128">
        <f>ROUND(IF(D111&lt;=SIMULADOR!$C$11,IF(SIMULADOR!$C$11=D111,I111*(1+$E$3)^G111+I111*($F$3*G111),Calculos!$I$6/Calculos!$F$4),0),2)</f>
        <v>0</v>
      </c>
      <c r="I111" s="128">
        <f>IF(D111&lt;=SIMULADOR!$C$11,I110-H110+M110+L110,0)</f>
        <v>0</v>
      </c>
      <c r="J111" s="128">
        <f>IF(D111&lt;SIMULADOR!$C$11,IF(H111-M111&lt;0,0,H111-M111-L111),I111)</f>
        <v>0</v>
      </c>
      <c r="K111" s="128">
        <f t="shared" si="36"/>
        <v>0</v>
      </c>
      <c r="L111" s="129">
        <f t="shared" si="37"/>
        <v>0</v>
      </c>
      <c r="M111" s="128">
        <f t="shared" si="38"/>
        <v>0</v>
      </c>
      <c r="O111" s="129">
        <f>+SIMULADOR!O128</f>
        <v>0</v>
      </c>
      <c r="Q111" s="125"/>
    </row>
    <row r="112" spans="1:17" x14ac:dyDescent="0.25">
      <c r="A112" s="117">
        <f t="shared" si="32"/>
        <v>46640</v>
      </c>
      <c r="B112" s="117">
        <f t="shared" si="33"/>
        <v>46670</v>
      </c>
      <c r="D112" s="109">
        <f t="shared" si="40"/>
        <v>107</v>
      </c>
      <c r="E112" s="118">
        <f t="shared" si="34"/>
        <v>3294</v>
      </c>
      <c r="F112" s="126">
        <f t="shared" si="35"/>
        <v>0.30987309431212862</v>
      </c>
      <c r="G112" s="127">
        <f t="shared" si="39"/>
        <v>31</v>
      </c>
      <c r="H112" s="128">
        <f>ROUND(IF(D112&lt;=SIMULADOR!$C$11,IF(SIMULADOR!$C$11=D112,I112*(1+$E$3)^G112+I112*($F$3*G112),Calculos!$I$6/Calculos!$F$4),0),2)</f>
        <v>0</v>
      </c>
      <c r="I112" s="128">
        <f>IF(D112&lt;=SIMULADOR!$C$11,I111-H111+M111+L111,0)</f>
        <v>0</v>
      </c>
      <c r="J112" s="128">
        <f>IF(D112&lt;SIMULADOR!$C$11,IF(H112-M112&lt;0,0,H112-M112-L112),I112)</f>
        <v>0</v>
      </c>
      <c r="K112" s="128">
        <f t="shared" si="36"/>
        <v>0</v>
      </c>
      <c r="L112" s="129">
        <f t="shared" si="37"/>
        <v>0</v>
      </c>
      <c r="M112" s="128">
        <f t="shared" si="38"/>
        <v>0</v>
      </c>
      <c r="O112" s="129">
        <f>+SIMULADOR!O129</f>
        <v>0</v>
      </c>
      <c r="Q112" s="125"/>
    </row>
    <row r="113" spans="1:17" x14ac:dyDescent="0.25">
      <c r="A113" s="117">
        <f t="shared" si="32"/>
        <v>46670</v>
      </c>
      <c r="B113" s="117">
        <f t="shared" si="33"/>
        <v>46701</v>
      </c>
      <c r="D113" s="109">
        <f t="shared" si="40"/>
        <v>108</v>
      </c>
      <c r="E113" s="118">
        <f t="shared" si="34"/>
        <v>3324</v>
      </c>
      <c r="F113" s="126">
        <f t="shared" si="35"/>
        <v>0.30658425135919837</v>
      </c>
      <c r="G113" s="127">
        <f t="shared" si="39"/>
        <v>30</v>
      </c>
      <c r="H113" s="128">
        <f>ROUND(IF(D113&lt;=SIMULADOR!$C$11,IF(SIMULADOR!$C$11=D113,I113*(1+$E$3)^G113+I113*($F$3*G113),Calculos!$I$6/Calculos!$F$4),0),2)</f>
        <v>0</v>
      </c>
      <c r="I113" s="128">
        <f>IF(D113&lt;=SIMULADOR!$C$11,I112-H112+M112+L112,0)</f>
        <v>0</v>
      </c>
      <c r="J113" s="128">
        <f>IF(D113&lt;SIMULADOR!$C$11,IF(H113-M113&lt;0,0,H113-M113-L113),I113)</f>
        <v>0</v>
      </c>
      <c r="K113" s="128">
        <f t="shared" si="36"/>
        <v>0</v>
      </c>
      <c r="L113" s="129">
        <f t="shared" si="37"/>
        <v>0</v>
      </c>
      <c r="M113" s="128">
        <f t="shared" si="38"/>
        <v>0</v>
      </c>
      <c r="O113" s="129">
        <f>+SIMULADOR!O130</f>
        <v>0</v>
      </c>
      <c r="Q113" s="125"/>
    </row>
    <row r="114" spans="1:17" x14ac:dyDescent="0.25">
      <c r="A114" s="117">
        <f t="shared" si="32"/>
        <v>46701</v>
      </c>
      <c r="B114" s="117">
        <f t="shared" si="33"/>
        <v>46731</v>
      </c>
      <c r="D114" s="109">
        <f t="shared" si="40"/>
        <v>109</v>
      </c>
      <c r="E114" s="118">
        <f t="shared" si="34"/>
        <v>3355</v>
      </c>
      <c r="F114" s="126">
        <f t="shared" si="35"/>
        <v>0.30322244686014904</v>
      </c>
      <c r="G114" s="127">
        <f t="shared" si="39"/>
        <v>31</v>
      </c>
      <c r="H114" s="128">
        <f>ROUND(IF(D114&lt;=SIMULADOR!$C$11,IF(SIMULADOR!$C$11=D114,I114*(1+$E$3)^G114+I114*($F$3*G114),Calculos!$I$6/Calculos!$F$4),0),2)</f>
        <v>0</v>
      </c>
      <c r="I114" s="128">
        <f>IF(D114&lt;=SIMULADOR!$C$11,I113-H113+M113+L113,0)</f>
        <v>0</v>
      </c>
      <c r="J114" s="128">
        <f>IF(D114&lt;SIMULADOR!$C$11,IF(H114-M114&lt;0,0,H114-M114-L114),I114)</f>
        <v>0</v>
      </c>
      <c r="K114" s="128">
        <f t="shared" si="36"/>
        <v>0</v>
      </c>
      <c r="L114" s="129">
        <f t="shared" si="37"/>
        <v>0</v>
      </c>
      <c r="M114" s="128">
        <f t="shared" si="38"/>
        <v>0</v>
      </c>
      <c r="O114" s="129">
        <f>+SIMULADOR!O131</f>
        <v>0</v>
      </c>
      <c r="Q114" s="125"/>
    </row>
    <row r="115" spans="1:17" x14ac:dyDescent="0.25">
      <c r="A115" s="117">
        <f t="shared" si="32"/>
        <v>46731</v>
      </c>
      <c r="B115" s="117">
        <f t="shared" si="33"/>
        <v>46762</v>
      </c>
      <c r="D115" s="109">
        <f t="shared" si="40"/>
        <v>110</v>
      </c>
      <c r="E115" s="118">
        <f t="shared" si="34"/>
        <v>3385</v>
      </c>
      <c r="F115" s="126">
        <f t="shared" si="35"/>
        <v>0.30000419065839645</v>
      </c>
      <c r="G115" s="127">
        <f t="shared" si="39"/>
        <v>30</v>
      </c>
      <c r="H115" s="128">
        <f>ROUND(IF(D115&lt;=SIMULADOR!$C$11,IF(SIMULADOR!$C$11=D115,I115*(1+$E$3)^G115+I115*($F$3*G115),Calculos!$I$6/Calculos!$F$4),0),2)</f>
        <v>0</v>
      </c>
      <c r="I115" s="128">
        <f>IF(D115&lt;=SIMULADOR!$C$11,I114-H114+M114+L114,0)</f>
        <v>0</v>
      </c>
      <c r="J115" s="128">
        <f>IF(D115&lt;SIMULADOR!$C$11,IF(H115-M115&lt;0,0,H115-M115-L115),I115)</f>
        <v>0</v>
      </c>
      <c r="K115" s="128">
        <f t="shared" si="36"/>
        <v>0</v>
      </c>
      <c r="L115" s="129">
        <f t="shared" si="37"/>
        <v>0</v>
      </c>
      <c r="M115" s="128">
        <f t="shared" si="38"/>
        <v>0</v>
      </c>
      <c r="O115" s="129">
        <f>+SIMULADOR!O132</f>
        <v>0</v>
      </c>
      <c r="Q115" s="125"/>
    </row>
    <row r="116" spans="1:17" x14ac:dyDescent="0.25">
      <c r="A116" s="117">
        <f t="shared" si="32"/>
        <v>46762</v>
      </c>
      <c r="B116" s="117">
        <f t="shared" si="33"/>
        <v>46793</v>
      </c>
      <c r="D116" s="109">
        <f t="shared" si="40"/>
        <v>111</v>
      </c>
      <c r="E116" s="118">
        <f t="shared" si="34"/>
        <v>3416</v>
      </c>
      <c r="F116" s="126">
        <f t="shared" si="35"/>
        <v>0.29671453884680565</v>
      </c>
      <c r="G116" s="127">
        <f t="shared" si="39"/>
        <v>31</v>
      </c>
      <c r="H116" s="128">
        <f>ROUND(IF(D116&lt;=SIMULADOR!$C$11,IF(SIMULADOR!$C$11=D116,I116*(1+$E$3)^G116+I116*($F$3*G116),Calculos!$I$6/Calculos!$F$4),0),2)</f>
        <v>0</v>
      </c>
      <c r="I116" s="128">
        <f>IF(D116&lt;=SIMULADOR!$C$11,I115-H115+M115+L115,0)</f>
        <v>0</v>
      </c>
      <c r="J116" s="128">
        <f>IF(D116&lt;SIMULADOR!$C$11,IF(H116-M116&lt;0,0,H116-M116-L116),I116)</f>
        <v>0</v>
      </c>
      <c r="K116" s="128">
        <f t="shared" si="36"/>
        <v>0</v>
      </c>
      <c r="L116" s="129">
        <f t="shared" si="37"/>
        <v>0</v>
      </c>
      <c r="M116" s="128">
        <f t="shared" si="38"/>
        <v>0</v>
      </c>
      <c r="O116" s="129">
        <f>+SIMULADOR!O133</f>
        <v>0</v>
      </c>
      <c r="Q116" s="125"/>
    </row>
    <row r="117" spans="1:17" x14ac:dyDescent="0.25">
      <c r="A117" s="117">
        <f t="shared" si="32"/>
        <v>46793</v>
      </c>
      <c r="B117" s="117">
        <f t="shared" si="33"/>
        <v>46822</v>
      </c>
      <c r="D117" s="109">
        <f t="shared" si="40"/>
        <v>112</v>
      </c>
      <c r="E117" s="118">
        <f t="shared" si="34"/>
        <v>3447</v>
      </c>
      <c r="F117" s="126">
        <f t="shared" si="35"/>
        <v>0.29346095922813226</v>
      </c>
      <c r="G117" s="127">
        <f t="shared" si="39"/>
        <v>31</v>
      </c>
      <c r="H117" s="128">
        <f>ROUND(IF(D117&lt;=SIMULADOR!$C$11,IF(SIMULADOR!$C$11=D117,I117*(1+$E$3)^G117+I117*($F$3*G117),Calculos!$I$6/Calculos!$F$4),0),2)</f>
        <v>0</v>
      </c>
      <c r="I117" s="128">
        <f>IF(D117&lt;=SIMULADOR!$C$11,I116-H116+M116+L116,0)</f>
        <v>0</v>
      </c>
      <c r="J117" s="128">
        <f>IF(D117&lt;SIMULADOR!$C$11,IF(H117-M117&lt;0,0,H117-M117-L117),I117)</f>
        <v>0</v>
      </c>
      <c r="K117" s="128">
        <f t="shared" si="36"/>
        <v>0</v>
      </c>
      <c r="L117" s="129">
        <f t="shared" si="37"/>
        <v>0</v>
      </c>
      <c r="M117" s="128">
        <f t="shared" si="38"/>
        <v>0</v>
      </c>
      <c r="O117" s="129">
        <f>+SIMULADOR!O134</f>
        <v>0</v>
      </c>
      <c r="Q117" s="125"/>
    </row>
    <row r="118" spans="1:17" x14ac:dyDescent="0.25">
      <c r="A118" s="117">
        <f t="shared" si="32"/>
        <v>46822</v>
      </c>
      <c r="B118" s="117">
        <f t="shared" si="33"/>
        <v>46853</v>
      </c>
      <c r="D118" s="109">
        <f t="shared" si="40"/>
        <v>113</v>
      </c>
      <c r="E118" s="118">
        <f t="shared" si="34"/>
        <v>3476</v>
      </c>
      <c r="F118" s="126">
        <f t="shared" si="35"/>
        <v>0.29044959392938424</v>
      </c>
      <c r="G118" s="127">
        <f t="shared" si="39"/>
        <v>29</v>
      </c>
      <c r="H118" s="128">
        <f>ROUND(IF(D118&lt;=SIMULADOR!$C$11,IF(SIMULADOR!$C$11=D118,I118*(1+$E$3)^G118+I118*($F$3*G118),Calculos!$I$6/Calculos!$F$4),0),2)</f>
        <v>0</v>
      </c>
      <c r="I118" s="128">
        <f>IF(D118&lt;=SIMULADOR!$C$11,I117-H117+M117+L117,0)</f>
        <v>0</v>
      </c>
      <c r="J118" s="128">
        <f>IF(D118&lt;SIMULADOR!$C$11,IF(H118-M118&lt;0,0,H118-M118-L118),I118)</f>
        <v>0</v>
      </c>
      <c r="K118" s="128">
        <f t="shared" si="36"/>
        <v>0</v>
      </c>
      <c r="L118" s="129">
        <f t="shared" si="37"/>
        <v>0</v>
      </c>
      <c r="M118" s="128">
        <f t="shared" si="38"/>
        <v>0</v>
      </c>
      <c r="O118" s="129">
        <f>+SIMULADOR!O135</f>
        <v>0</v>
      </c>
      <c r="Q118" s="125"/>
    </row>
    <row r="119" spans="1:17" x14ac:dyDescent="0.25">
      <c r="A119" s="117">
        <f t="shared" si="32"/>
        <v>46853</v>
      </c>
      <c r="B119" s="117">
        <f t="shared" si="33"/>
        <v>46883</v>
      </c>
      <c r="D119" s="109">
        <f t="shared" si="40"/>
        <v>114</v>
      </c>
      <c r="E119" s="118">
        <f t="shared" si="34"/>
        <v>3507</v>
      </c>
      <c r="F119" s="126">
        <f t="shared" si="35"/>
        <v>0.28726471164241119</v>
      </c>
      <c r="G119" s="127">
        <f t="shared" si="39"/>
        <v>31</v>
      </c>
      <c r="H119" s="128">
        <f>ROUND(IF(D119&lt;=SIMULADOR!$C$11,IF(SIMULADOR!$C$11=D119,I119*(1+$E$3)^G119+I119*($F$3*G119),Calculos!$I$6/Calculos!$F$4),0),2)</f>
        <v>0</v>
      </c>
      <c r="I119" s="128">
        <f>IF(D119&lt;=SIMULADOR!$C$11,I118-H118+M118+L118,0)</f>
        <v>0</v>
      </c>
      <c r="J119" s="128">
        <f>IF(D119&lt;SIMULADOR!$C$11,IF(H119-M119&lt;0,0,H119-M119-L119),I119)</f>
        <v>0</v>
      </c>
      <c r="K119" s="128">
        <f t="shared" si="36"/>
        <v>0</v>
      </c>
      <c r="L119" s="129">
        <f t="shared" si="37"/>
        <v>0</v>
      </c>
      <c r="M119" s="128">
        <f t="shared" si="38"/>
        <v>0</v>
      </c>
      <c r="O119" s="129">
        <f>+SIMULADOR!O136</f>
        <v>0</v>
      </c>
      <c r="Q119" s="125"/>
    </row>
    <row r="120" spans="1:17" x14ac:dyDescent="0.25">
      <c r="A120" s="117">
        <f t="shared" si="32"/>
        <v>46883</v>
      </c>
      <c r="B120" s="117">
        <f t="shared" si="33"/>
        <v>46914</v>
      </c>
      <c r="D120" s="109">
        <f t="shared" si="40"/>
        <v>115</v>
      </c>
      <c r="E120" s="118">
        <f t="shared" si="34"/>
        <v>3537</v>
      </c>
      <c r="F120" s="126">
        <f t="shared" si="35"/>
        <v>0.28421582311400273</v>
      </c>
      <c r="G120" s="127">
        <f t="shared" si="39"/>
        <v>30</v>
      </c>
      <c r="H120" s="128">
        <f>ROUND(IF(D120&lt;=SIMULADOR!$C$11,IF(SIMULADOR!$C$11=D120,I120*(1+$E$3)^G120+I120*($F$3*G120),Calculos!$I$6/Calculos!$F$4),0),2)</f>
        <v>0</v>
      </c>
      <c r="I120" s="128">
        <f>IF(D120&lt;=SIMULADOR!$C$11,I119-H119+M119+L119,0)</f>
        <v>0</v>
      </c>
      <c r="J120" s="128">
        <f>IF(D120&lt;SIMULADOR!$C$11,IF(H120-M120&lt;0,0,H120-M120-L120),I120)</f>
        <v>0</v>
      </c>
      <c r="K120" s="128">
        <f t="shared" si="36"/>
        <v>0</v>
      </c>
      <c r="L120" s="129">
        <f t="shared" si="37"/>
        <v>0</v>
      </c>
      <c r="M120" s="128">
        <f t="shared" si="38"/>
        <v>0</v>
      </c>
      <c r="O120" s="129">
        <f>+SIMULADOR!O137</f>
        <v>0</v>
      </c>
      <c r="Q120" s="125"/>
    </row>
    <row r="121" spans="1:17" x14ac:dyDescent="0.25">
      <c r="A121" s="117">
        <f t="shared" si="32"/>
        <v>46914</v>
      </c>
      <c r="B121" s="117">
        <f t="shared" si="33"/>
        <v>46944</v>
      </c>
      <c r="D121" s="109">
        <f t="shared" si="40"/>
        <v>116</v>
      </c>
      <c r="E121" s="118">
        <f t="shared" si="34"/>
        <v>3568</v>
      </c>
      <c r="F121" s="126">
        <f t="shared" si="35"/>
        <v>0.28109929632370073</v>
      </c>
      <c r="G121" s="127">
        <f t="shared" si="39"/>
        <v>31</v>
      </c>
      <c r="H121" s="128">
        <f>ROUND(IF(D121&lt;=SIMULADOR!$C$11,IF(SIMULADOR!$C$11=D121,I121*(1+$E$3)^G121+I121*($F$3*G121),Calculos!$I$6/Calculos!$F$4),0),2)</f>
        <v>0</v>
      </c>
      <c r="I121" s="128">
        <f>IF(D121&lt;=SIMULADOR!$C$11,I120-H120+M120+L120,0)</f>
        <v>0</v>
      </c>
      <c r="J121" s="128">
        <f>IF(D121&lt;SIMULADOR!$C$11,IF(H121-M121&lt;0,0,H121-M121-L121),I121)</f>
        <v>0</v>
      </c>
      <c r="K121" s="128">
        <f t="shared" si="36"/>
        <v>0</v>
      </c>
      <c r="L121" s="129">
        <f t="shared" si="37"/>
        <v>0</v>
      </c>
      <c r="M121" s="128">
        <f t="shared" si="38"/>
        <v>0</v>
      </c>
      <c r="O121" s="129">
        <f>+SIMULADOR!O138</f>
        <v>0</v>
      </c>
      <c r="Q121" s="125"/>
    </row>
    <row r="122" spans="1:17" x14ac:dyDescent="0.25">
      <c r="A122" s="117">
        <f t="shared" si="32"/>
        <v>46944</v>
      </c>
      <c r="B122" s="117">
        <f t="shared" si="33"/>
        <v>46975</v>
      </c>
      <c r="D122" s="109">
        <f t="shared" si="40"/>
        <v>117</v>
      </c>
      <c r="E122" s="118">
        <f t="shared" si="34"/>
        <v>3598</v>
      </c>
      <c r="F122" s="126">
        <f t="shared" si="35"/>
        <v>0.27811584452760302</v>
      </c>
      <c r="G122" s="127">
        <f t="shared" si="39"/>
        <v>30</v>
      </c>
      <c r="H122" s="128">
        <f>ROUND(IF(D122&lt;=SIMULADOR!$C$11,IF(SIMULADOR!$C$11=D122,I122*(1+$E$3)^G122+I122*($F$3*G122),Calculos!$I$6/Calculos!$F$4),0),2)</f>
        <v>0</v>
      </c>
      <c r="I122" s="128">
        <f>IF(D122&lt;=SIMULADOR!$C$11,I121-H121+M121+L121,0)</f>
        <v>0</v>
      </c>
      <c r="J122" s="128">
        <f>IF(D122&lt;SIMULADOR!$C$11,IF(H122-M122&lt;0,0,H122-M122-L122),I122)</f>
        <v>0</v>
      </c>
      <c r="K122" s="128">
        <f t="shared" si="36"/>
        <v>0</v>
      </c>
      <c r="L122" s="129">
        <f t="shared" si="37"/>
        <v>0</v>
      </c>
      <c r="M122" s="128">
        <f t="shared" si="38"/>
        <v>0</v>
      </c>
      <c r="O122" s="129">
        <f>+SIMULADOR!O139</f>
        <v>0</v>
      </c>
      <c r="Q122" s="125"/>
    </row>
    <row r="123" spans="1:17" x14ac:dyDescent="0.25">
      <c r="A123" s="117">
        <f t="shared" si="32"/>
        <v>46975</v>
      </c>
      <c r="B123" s="117">
        <f t="shared" si="33"/>
        <v>47006</v>
      </c>
      <c r="D123" s="109">
        <f t="shared" si="40"/>
        <v>118</v>
      </c>
      <c r="E123" s="118">
        <f t="shared" si="34"/>
        <v>3629</v>
      </c>
      <c r="F123" s="126">
        <f t="shared" si="35"/>
        <v>0.27506620615497057</v>
      </c>
      <c r="G123" s="127">
        <f t="shared" si="39"/>
        <v>31</v>
      </c>
      <c r="H123" s="128">
        <f>ROUND(IF(D123&lt;=SIMULADOR!$C$11,IF(SIMULADOR!$C$11=D123,I123*(1+$E$3)^G123+I123*($F$3*G123),Calculos!$I$6/Calculos!$F$4),0),2)</f>
        <v>0</v>
      </c>
      <c r="I123" s="128">
        <f>IF(D123&lt;=SIMULADOR!$C$11,I122-H122+M122+L122,0)</f>
        <v>0</v>
      </c>
      <c r="J123" s="128">
        <f>IF(D123&lt;SIMULADOR!$C$11,IF(H123-M123&lt;0,0,H123-M123-L123),I123)</f>
        <v>0</v>
      </c>
      <c r="K123" s="128">
        <f t="shared" si="36"/>
        <v>0</v>
      </c>
      <c r="L123" s="129">
        <f t="shared" si="37"/>
        <v>0</v>
      </c>
      <c r="M123" s="128">
        <f t="shared" si="38"/>
        <v>0</v>
      </c>
      <c r="O123" s="129">
        <f>+SIMULADOR!O140</f>
        <v>0</v>
      </c>
      <c r="Q123" s="125"/>
    </row>
    <row r="124" spans="1:17" ht="13.8" thickBot="1" x14ac:dyDescent="0.3">
      <c r="A124" s="130">
        <f t="shared" si="32"/>
        <v>47006</v>
      </c>
      <c r="B124" s="117">
        <f t="shared" si="33"/>
        <v>47036</v>
      </c>
      <c r="D124" s="109">
        <f t="shared" si="40"/>
        <v>119</v>
      </c>
      <c r="E124" s="118">
        <f t="shared" si="34"/>
        <v>3660</v>
      </c>
      <c r="F124" s="126">
        <f t="shared" si="35"/>
        <v>0.27205000814320529</v>
      </c>
      <c r="G124" s="127">
        <f t="shared" si="39"/>
        <v>31</v>
      </c>
      <c r="H124" s="128">
        <f>ROUND(IF(D124&lt;=SIMULADOR!$C$11,IF(SIMULADOR!$C$11=D124,I124*(1+$E$3)^G124+I124*($F$3*G124),Calculos!$I$6/Calculos!$F$4),0),2)</f>
        <v>0</v>
      </c>
      <c r="I124" s="128">
        <f>IF(D124&lt;=SIMULADOR!$C$11,I123-H123+M123+L123,0)</f>
        <v>0</v>
      </c>
      <c r="J124" s="128">
        <f>IF(D124&lt;SIMULADOR!$C$11,IF(H124-M124&lt;0,0,H124-M124-L124),I124)</f>
        <v>0</v>
      </c>
      <c r="K124" s="128">
        <f t="shared" si="36"/>
        <v>0</v>
      </c>
      <c r="L124" s="129">
        <f t="shared" si="37"/>
        <v>0</v>
      </c>
      <c r="M124" s="128">
        <f t="shared" si="38"/>
        <v>0</v>
      </c>
      <c r="O124" s="129">
        <f>+SIMULADOR!O141</f>
        <v>0</v>
      </c>
      <c r="Q124" s="125"/>
    </row>
    <row r="125" spans="1:17" x14ac:dyDescent="0.25">
      <c r="D125" s="109">
        <f t="shared" si="40"/>
        <v>120</v>
      </c>
      <c r="E125" s="118">
        <f t="shared" si="34"/>
        <v>3690</v>
      </c>
      <c r="F125" s="131">
        <f t="shared" si="35"/>
        <v>0.26916260110932733</v>
      </c>
      <c r="G125" s="132">
        <f t="shared" si="39"/>
        <v>30</v>
      </c>
      <c r="H125" s="128">
        <f>ROUND(IF(D125&lt;=SIMULADOR!$C$11,IF(SIMULADOR!$C$11=D125,I125*(1+$E$3)^G125+I125*($F$3*G125),Calculos!$I$6/Calculos!$F$4),0),2)</f>
        <v>0</v>
      </c>
      <c r="I125" s="133">
        <f>IF(D125&lt;=SIMULADOR!$C$11,I124-H124+M124+L124,0)</f>
        <v>0</v>
      </c>
      <c r="J125" s="128">
        <f>IF(D125&lt;SIMULADOR!$C$11,IF(H125-M125&lt;0,0,H125-M125-L125),I125)</f>
        <v>0</v>
      </c>
      <c r="K125" s="133">
        <f t="shared" si="36"/>
        <v>0</v>
      </c>
      <c r="L125" s="129">
        <f t="shared" si="37"/>
        <v>0</v>
      </c>
      <c r="M125" s="128">
        <f t="shared" si="38"/>
        <v>0</v>
      </c>
      <c r="O125" s="134">
        <f>+SIMULADOR!O142</f>
        <v>0</v>
      </c>
      <c r="Q125" s="125"/>
    </row>
    <row r="126" spans="1:17" x14ac:dyDescent="0.25">
      <c r="E126" s="118"/>
    </row>
    <row r="127" spans="1:17" x14ac:dyDescent="0.25">
      <c r="E127" s="118"/>
    </row>
    <row r="128" spans="1:17" x14ac:dyDescent="0.25">
      <c r="E128" s="118"/>
    </row>
    <row r="129" spans="5:5" x14ac:dyDescent="0.25">
      <c r="E129" s="118"/>
    </row>
    <row r="130" spans="5:5" x14ac:dyDescent="0.25">
      <c r="E130" s="118"/>
    </row>
    <row r="131" spans="5:5" x14ac:dyDescent="0.25">
      <c r="E131" s="118"/>
    </row>
    <row r="132" spans="5:5" x14ac:dyDescent="0.25">
      <c r="E132" s="118"/>
    </row>
    <row r="133" spans="5:5" x14ac:dyDescent="0.25">
      <c r="E133" s="118"/>
    </row>
    <row r="134" spans="5:5" x14ac:dyDescent="0.25">
      <c r="E134" s="118"/>
    </row>
    <row r="135" spans="5:5" x14ac:dyDescent="0.25">
      <c r="E135" s="118"/>
    </row>
    <row r="136" spans="5:5" x14ac:dyDescent="0.25">
      <c r="E136" s="118"/>
    </row>
    <row r="137" spans="5:5" x14ac:dyDescent="0.25">
      <c r="E137" s="118"/>
    </row>
    <row r="138" spans="5:5" x14ac:dyDescent="0.25">
      <c r="E138" s="118"/>
    </row>
    <row r="139" spans="5:5" x14ac:dyDescent="0.25">
      <c r="E139" s="118"/>
    </row>
    <row r="140" spans="5:5" x14ac:dyDescent="0.25">
      <c r="E140" s="118"/>
    </row>
    <row r="141" spans="5:5" x14ac:dyDescent="0.25">
      <c r="E141" s="118"/>
    </row>
    <row r="142" spans="5:5" x14ac:dyDescent="0.25">
      <c r="E142" s="118"/>
    </row>
    <row r="143" spans="5:5" x14ac:dyDescent="0.25">
      <c r="E143" s="118"/>
    </row>
    <row r="144" spans="5:5" x14ac:dyDescent="0.25">
      <c r="E144" s="118"/>
    </row>
    <row r="145" spans="5:5" x14ac:dyDescent="0.25">
      <c r="E145" s="118"/>
    </row>
    <row r="146" spans="5:5" x14ac:dyDescent="0.25">
      <c r="E146" s="118"/>
    </row>
    <row r="147" spans="5:5" x14ac:dyDescent="0.25">
      <c r="E147" s="118"/>
    </row>
    <row r="148" spans="5:5" x14ac:dyDescent="0.25">
      <c r="E148" s="118"/>
    </row>
    <row r="149" spans="5:5" x14ac:dyDescent="0.25">
      <c r="E149" s="118"/>
    </row>
    <row r="150" spans="5:5" x14ac:dyDescent="0.25">
      <c r="E150" s="118"/>
    </row>
    <row r="151" spans="5:5" x14ac:dyDescent="0.25">
      <c r="E151" s="118"/>
    </row>
    <row r="152" spans="5:5" x14ac:dyDescent="0.25">
      <c r="E152" s="118"/>
    </row>
    <row r="153" spans="5:5" x14ac:dyDescent="0.25">
      <c r="E153" s="118"/>
    </row>
    <row r="154" spans="5:5" x14ac:dyDescent="0.25">
      <c r="E154" s="118"/>
    </row>
    <row r="155" spans="5:5" x14ac:dyDescent="0.25">
      <c r="E155" s="118"/>
    </row>
    <row r="156" spans="5:5" x14ac:dyDescent="0.25">
      <c r="E156" s="118"/>
    </row>
    <row r="157" spans="5:5" x14ac:dyDescent="0.25">
      <c r="E157" s="118"/>
    </row>
    <row r="158" spans="5:5" x14ac:dyDescent="0.25">
      <c r="E158" s="118"/>
    </row>
    <row r="159" spans="5:5" x14ac:dyDescent="0.25">
      <c r="E159" s="118"/>
    </row>
    <row r="160" spans="5:5" x14ac:dyDescent="0.25">
      <c r="E160" s="118"/>
    </row>
    <row r="161" spans="5:5" x14ac:dyDescent="0.25">
      <c r="E161" s="118"/>
    </row>
    <row r="162" spans="5:5" x14ac:dyDescent="0.25">
      <c r="E162" s="118"/>
    </row>
    <row r="163" spans="5:5" x14ac:dyDescent="0.25">
      <c r="E163" s="118"/>
    </row>
    <row r="164" spans="5:5" x14ac:dyDescent="0.25">
      <c r="E164" s="118"/>
    </row>
    <row r="165" spans="5:5" x14ac:dyDescent="0.25">
      <c r="E165" s="118"/>
    </row>
    <row r="166" spans="5:5" x14ac:dyDescent="0.25">
      <c r="E166" s="118"/>
    </row>
    <row r="167" spans="5:5" x14ac:dyDescent="0.25">
      <c r="E167" s="118"/>
    </row>
    <row r="168" spans="5:5" x14ac:dyDescent="0.25">
      <c r="E168" s="118"/>
    </row>
    <row r="169" spans="5:5" x14ac:dyDescent="0.25">
      <c r="E169" s="118"/>
    </row>
    <row r="170" spans="5:5" x14ac:dyDescent="0.25">
      <c r="E170" s="118"/>
    </row>
    <row r="171" spans="5:5" x14ac:dyDescent="0.25">
      <c r="E171" s="118"/>
    </row>
    <row r="172" spans="5:5" x14ac:dyDescent="0.25">
      <c r="E172" s="118"/>
    </row>
    <row r="173" spans="5:5" x14ac:dyDescent="0.25">
      <c r="E173" s="118"/>
    </row>
    <row r="174" spans="5:5" x14ac:dyDescent="0.25">
      <c r="E174" s="118"/>
    </row>
    <row r="175" spans="5:5" x14ac:dyDescent="0.25">
      <c r="E175" s="118"/>
    </row>
    <row r="176" spans="5:5" x14ac:dyDescent="0.25">
      <c r="E176" s="118"/>
    </row>
    <row r="177" spans="5:5" x14ac:dyDescent="0.25">
      <c r="E177" s="118"/>
    </row>
    <row r="178" spans="5:5" x14ac:dyDescent="0.25">
      <c r="E178" s="118"/>
    </row>
    <row r="179" spans="5:5" x14ac:dyDescent="0.25">
      <c r="E179" s="118"/>
    </row>
    <row r="180" spans="5:5" x14ac:dyDescent="0.25">
      <c r="E180" s="118"/>
    </row>
    <row r="181" spans="5:5" x14ac:dyDescent="0.25">
      <c r="E181" s="118"/>
    </row>
    <row r="182" spans="5:5" x14ac:dyDescent="0.25">
      <c r="E182" s="118"/>
    </row>
    <row r="183" spans="5:5" x14ac:dyDescent="0.25">
      <c r="E183" s="118"/>
    </row>
    <row r="184" spans="5:5" x14ac:dyDescent="0.25">
      <c r="E184" s="118"/>
    </row>
    <row r="185" spans="5:5" x14ac:dyDescent="0.25">
      <c r="E185" s="118"/>
    </row>
    <row r="186" spans="5:5" x14ac:dyDescent="0.25">
      <c r="E186" s="118"/>
    </row>
    <row r="187" spans="5:5" x14ac:dyDescent="0.25">
      <c r="E187" s="118"/>
    </row>
    <row r="188" spans="5:5" x14ac:dyDescent="0.25">
      <c r="E188" s="118"/>
    </row>
    <row r="189" spans="5:5" x14ac:dyDescent="0.25">
      <c r="E189" s="118"/>
    </row>
    <row r="190" spans="5:5" x14ac:dyDescent="0.25">
      <c r="E190" s="118"/>
    </row>
    <row r="191" spans="5:5" x14ac:dyDescent="0.25">
      <c r="E191" s="118"/>
    </row>
    <row r="192" spans="5:5" x14ac:dyDescent="0.25">
      <c r="E192" s="118"/>
    </row>
    <row r="193" spans="5:5" x14ac:dyDescent="0.25">
      <c r="E193" s="118"/>
    </row>
    <row r="194" spans="5:5" x14ac:dyDescent="0.25">
      <c r="E194" s="118"/>
    </row>
    <row r="195" spans="5:5" x14ac:dyDescent="0.25">
      <c r="E195" s="118"/>
    </row>
    <row r="196" spans="5:5" x14ac:dyDescent="0.25">
      <c r="E196" s="118"/>
    </row>
    <row r="197" spans="5:5" x14ac:dyDescent="0.25">
      <c r="E197" s="118"/>
    </row>
    <row r="198" spans="5:5" x14ac:dyDescent="0.25">
      <c r="E198" s="118"/>
    </row>
    <row r="199" spans="5:5" x14ac:dyDescent="0.25">
      <c r="E199" s="118"/>
    </row>
    <row r="200" spans="5:5" x14ac:dyDescent="0.25">
      <c r="E200" s="118"/>
    </row>
    <row r="201" spans="5:5" x14ac:dyDescent="0.25">
      <c r="E201" s="118"/>
    </row>
    <row r="202" spans="5:5" x14ac:dyDescent="0.25">
      <c r="E202" s="118"/>
    </row>
    <row r="203" spans="5:5" x14ac:dyDescent="0.25">
      <c r="E203" s="118"/>
    </row>
    <row r="204" spans="5:5" x14ac:dyDescent="0.25">
      <c r="E204" s="118"/>
    </row>
    <row r="205" spans="5:5" x14ac:dyDescent="0.25">
      <c r="E205" s="118"/>
    </row>
    <row r="206" spans="5:5" x14ac:dyDescent="0.25">
      <c r="E206" s="118"/>
    </row>
    <row r="207" spans="5:5" x14ac:dyDescent="0.25">
      <c r="E207" s="118"/>
    </row>
    <row r="208" spans="5:5" x14ac:dyDescent="0.25">
      <c r="E208" s="118"/>
    </row>
    <row r="209" spans="5:5" x14ac:dyDescent="0.25">
      <c r="E209" s="118"/>
    </row>
    <row r="210" spans="5:5" x14ac:dyDescent="0.25">
      <c r="E210" s="118"/>
    </row>
    <row r="211" spans="5:5" x14ac:dyDescent="0.25">
      <c r="E211" s="118"/>
    </row>
    <row r="212" spans="5:5" x14ac:dyDescent="0.25">
      <c r="E212" s="118"/>
    </row>
    <row r="213" spans="5:5" x14ac:dyDescent="0.25">
      <c r="E213" s="118"/>
    </row>
    <row r="214" spans="5:5" x14ac:dyDescent="0.25">
      <c r="E214" s="118"/>
    </row>
    <row r="215" spans="5:5" x14ac:dyDescent="0.25">
      <c r="E215" s="118"/>
    </row>
    <row r="216" spans="5:5" x14ac:dyDescent="0.25">
      <c r="E216" s="118"/>
    </row>
    <row r="217" spans="5:5" x14ac:dyDescent="0.25">
      <c r="E217" s="118"/>
    </row>
    <row r="218" spans="5:5" x14ac:dyDescent="0.25">
      <c r="E218" s="118"/>
    </row>
    <row r="219" spans="5:5" x14ac:dyDescent="0.25">
      <c r="E219" s="118"/>
    </row>
    <row r="220" spans="5:5" x14ac:dyDescent="0.25">
      <c r="E220" s="118"/>
    </row>
    <row r="221" spans="5:5" x14ac:dyDescent="0.25">
      <c r="E221" s="118"/>
    </row>
    <row r="222" spans="5:5" x14ac:dyDescent="0.25">
      <c r="E222" s="118"/>
    </row>
    <row r="223" spans="5:5" x14ac:dyDescent="0.25">
      <c r="E223" s="118"/>
    </row>
    <row r="224" spans="5:5" x14ac:dyDescent="0.25">
      <c r="E224" s="118"/>
    </row>
    <row r="225" spans="5:5" x14ac:dyDescent="0.25">
      <c r="E225" s="118"/>
    </row>
    <row r="226" spans="5:5" x14ac:dyDescent="0.25">
      <c r="E226" s="118"/>
    </row>
    <row r="227" spans="5:5" x14ac:dyDescent="0.25">
      <c r="E227" s="118"/>
    </row>
    <row r="228" spans="5:5" x14ac:dyDescent="0.25">
      <c r="E228" s="118"/>
    </row>
    <row r="229" spans="5:5" x14ac:dyDescent="0.25">
      <c r="E229" s="118"/>
    </row>
    <row r="230" spans="5:5" x14ac:dyDescent="0.25">
      <c r="E230" s="118"/>
    </row>
    <row r="231" spans="5:5" x14ac:dyDescent="0.25">
      <c r="E231" s="118"/>
    </row>
    <row r="232" spans="5:5" x14ac:dyDescent="0.25">
      <c r="E232" s="118"/>
    </row>
    <row r="233" spans="5:5" x14ac:dyDescent="0.25">
      <c r="E233" s="118"/>
    </row>
    <row r="234" spans="5:5" x14ac:dyDescent="0.25">
      <c r="E234" s="118"/>
    </row>
    <row r="235" spans="5:5" x14ac:dyDescent="0.25">
      <c r="E235" s="118"/>
    </row>
    <row r="236" spans="5:5" x14ac:dyDescent="0.25">
      <c r="E236" s="118"/>
    </row>
    <row r="237" spans="5:5" x14ac:dyDescent="0.25">
      <c r="E237" s="118"/>
    </row>
    <row r="238" spans="5:5" x14ac:dyDescent="0.25">
      <c r="E238" s="118"/>
    </row>
    <row r="239" spans="5:5" x14ac:dyDescent="0.25">
      <c r="E239" s="118"/>
    </row>
    <row r="240" spans="5:5" x14ac:dyDescent="0.25">
      <c r="E240" s="118"/>
    </row>
    <row r="241" spans="4:5" x14ac:dyDescent="0.25">
      <c r="E241" s="118"/>
    </row>
    <row r="242" spans="4:5" x14ac:dyDescent="0.25">
      <c r="E242" s="118"/>
    </row>
    <row r="243" spans="4:5" x14ac:dyDescent="0.25">
      <c r="E243" s="118"/>
    </row>
    <row r="244" spans="4:5" x14ac:dyDescent="0.25">
      <c r="E244" s="118"/>
    </row>
    <row r="245" spans="4:5" x14ac:dyDescent="0.25">
      <c r="E245" s="118"/>
    </row>
    <row r="246" spans="4:5" x14ac:dyDescent="0.25">
      <c r="E246" s="118"/>
    </row>
    <row r="247" spans="4:5" x14ac:dyDescent="0.25">
      <c r="E247" s="118"/>
    </row>
    <row r="248" spans="4:5" x14ac:dyDescent="0.25">
      <c r="D248" s="135"/>
      <c r="E248" s="118"/>
    </row>
  </sheetData>
  <sheetProtection password="A58B" sheet="1" objects="1" scenarios="1" selectLockedCells="1" selectUnlockedCells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Crédito por Convenio</vt:lpstr>
      <vt:lpstr>SIMULADOR</vt:lpstr>
      <vt:lpstr>Calculos</vt:lpstr>
    </vt:vector>
  </TitlesOfParts>
  <Company>FINANCIERA CORDILLERA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jcaceda@ripley.com.pe</dc:creator>
  <cp:lastModifiedBy>DIEGO ENRIQUE RODRIGUEZ ZARATE</cp:lastModifiedBy>
  <cp:lastPrinted>2006-05-11T23:09:43Z</cp:lastPrinted>
  <dcterms:created xsi:type="dcterms:W3CDTF">2006-05-05T22:58:22Z</dcterms:created>
  <dcterms:modified xsi:type="dcterms:W3CDTF">2018-09-13T23:26:20Z</dcterms:modified>
</cp:coreProperties>
</file>